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Data" sheetId="1" state="visible" r:id="rId1"/>
    <sheet name="KPI Dashboard" sheetId="2" state="visible" r:id="rId2"/>
    <sheet name="Matrix" sheetId="3" state="visible" r:id="rId3"/>
    <sheet name="PivotTable" sheetId="4" state="visible" r:id="rId4"/>
    <sheet name="Cheat She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1F2937"/>
      <sz val="18"/>
    </font>
    <font>
      <i val="1"/>
      <color rgb="006B7280"/>
      <sz val="10"/>
    </font>
    <font>
      <b val="1"/>
      <color rgb="001F2937"/>
      <sz val="16"/>
    </font>
    <font>
      <b val="1"/>
    </font>
    <font>
      <b val="1"/>
      <color rgb="002563EB"/>
      <sz val="12"/>
    </font>
    <font>
      <color rgb="001F2937"/>
    </font>
    <font>
      <i val="1"/>
      <color rgb="006B7280"/>
    </font>
    <font>
      <name val="Consolas"/>
      <color rgb="002563EB"/>
    </font>
  </fonts>
  <fills count="4">
    <fill>
      <patternFill/>
    </fill>
    <fill>
      <patternFill patternType="gray125"/>
    </fill>
    <fill>
      <patternFill patternType="solid">
        <fgColor rgb="000D152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applyAlignment="1" pivotButton="0" quotePrefix="0" xfId="0">
      <alignment horizontal="left" vertical="center"/>
    </xf>
    <xf numFmtId="3" fontId="0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1" fillId="2" borderId="1" pivotButton="0" quotePrefix="0" xfId="0"/>
    <xf numFmtId="0" fontId="5" fillId="0" borderId="1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/>
    </xf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97706"/>
      </font>
      <fill>
        <patternFill patternType="solid">
          <fgColor rgb="00FEF3C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'Matrix'!G5</f>
            </strRef>
          </tx>
          <spPr>
            <a:ln>
              <a:prstDash val="solid"/>
            </a:ln>
          </spPr>
          <cat>
            <numRef>
              <f>'Matrix'!$B$6:$B$9</f>
            </numRef>
          </cat>
          <val>
            <numRef>
              <f>'Matrix'!$G$6:$G$9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11</row>
      <rowOff>0</rowOff>
    </from>
    <ext cx="432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lesData" displayName="SalesData" ref="A1:Q601" headerRowCount="1">
  <autoFilter ref="A1:Q601"/>
  <tableColumns count="17">
    <tableColumn id="1" name="OrderID"/>
    <tableColumn id="2" name="Date"/>
    <tableColumn id="3" name="Year"/>
    <tableColumn id="4" name="Quarter"/>
    <tableColumn id="5" name="Month"/>
    <tableColumn id="6" name="Region"/>
    <tableColumn id="7" name="Segment"/>
    <tableColumn id="8" name="Channel"/>
    <tableColumn id="9" name="Category"/>
    <tableColumn id="10" name="Product"/>
    <tableColumn id="11" name="SalesRep"/>
    <tableColumn id="12" name="Units"/>
    <tableColumn id="13" name="UnitPrice"/>
    <tableColumn id="14" name="Revenue"/>
    <tableColumn id="15" name="Cost"/>
    <tableColumn id="16" name="Profit"/>
    <tableColumn id="17" name="Margin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Year</t>
        </is>
      </c>
      <c r="D1" s="1" t="inlineStr">
        <is>
          <t>Quarter</t>
        </is>
      </c>
      <c r="E1" s="1" t="inlineStr">
        <is>
          <t>Month</t>
        </is>
      </c>
      <c r="F1" s="1" t="inlineStr">
        <is>
          <t>Region</t>
        </is>
      </c>
      <c r="G1" s="1" t="inlineStr">
        <is>
          <t>Segment</t>
        </is>
      </c>
      <c r="H1" s="1" t="inlineStr">
        <is>
          <t>Channel</t>
        </is>
      </c>
      <c r="I1" s="1" t="inlineStr">
        <is>
          <t>Category</t>
        </is>
      </c>
      <c r="J1" s="1" t="inlineStr">
        <is>
          <t>Product</t>
        </is>
      </c>
      <c r="K1" s="1" t="inlineStr">
        <is>
          <t>SalesRep</t>
        </is>
      </c>
      <c r="L1" s="1" t="inlineStr">
        <is>
          <t>Units</t>
        </is>
      </c>
      <c r="M1" s="1" t="inlineStr">
        <is>
          <t>UnitPrice</t>
        </is>
      </c>
      <c r="N1" s="1" t="inlineStr">
        <is>
          <t>Revenue</t>
        </is>
      </c>
      <c r="O1" s="1" t="inlineStr">
        <is>
          <t>Cost</t>
        </is>
      </c>
      <c r="P1" s="1" t="inlineStr">
        <is>
          <t>Profit</t>
        </is>
      </c>
      <c r="Q1" s="1" t="inlineStr">
        <is>
          <t>Margin</t>
        </is>
      </c>
    </row>
    <row r="2">
      <c r="A2" t="inlineStr">
        <is>
          <t>ORD-1000</t>
        </is>
      </c>
      <c r="B2" s="2" t="n">
        <v>45619</v>
      </c>
      <c r="C2" t="n">
        <v>2024</v>
      </c>
      <c r="D2" t="inlineStr">
        <is>
          <t>Q4</t>
        </is>
      </c>
      <c r="E2" t="inlineStr">
        <is>
          <t>Nov</t>
        </is>
      </c>
      <c r="F2" t="inlineStr">
        <is>
          <t>South</t>
        </is>
      </c>
      <c r="G2" t="inlineStr">
        <is>
          <t>SMB</t>
        </is>
      </c>
      <c r="H2" t="inlineStr">
        <is>
          <t>Self-serve</t>
        </is>
      </c>
      <c r="I2" t="inlineStr">
        <is>
          <t>Subscriptions</t>
        </is>
      </c>
      <c r="J2" t="inlineStr">
        <is>
          <t>Starter</t>
        </is>
      </c>
      <c r="K2" t="inlineStr">
        <is>
          <t>A. Rao</t>
        </is>
      </c>
      <c r="L2" t="n">
        <v>48</v>
      </c>
      <c r="M2" s="3" t="n">
        <v>905.0599999999999</v>
      </c>
      <c r="N2" s="3">
        <f>L2*M2</f>
        <v/>
      </c>
      <c r="O2" s="3">
        <f>N2*0.247</f>
        <v/>
      </c>
      <c r="P2" s="3">
        <f>N2-O2</f>
        <v/>
      </c>
      <c r="Q2" s="4">
        <f>IF(N2=0,0,P2/N2)</f>
        <v/>
      </c>
    </row>
    <row r="3">
      <c r="A3" t="inlineStr">
        <is>
          <t>ORD-1001</t>
        </is>
      </c>
      <c r="B3" s="2" t="n">
        <v>45571</v>
      </c>
      <c r="C3" t="n">
        <v>2024</v>
      </c>
      <c r="D3" t="inlineStr">
        <is>
          <t>Q4</t>
        </is>
      </c>
      <c r="E3" t="inlineStr">
        <is>
          <t>Oct</t>
        </is>
      </c>
      <c r="F3" t="inlineStr">
        <is>
          <t>North</t>
        </is>
      </c>
      <c r="G3" t="inlineStr">
        <is>
          <t>SMB</t>
        </is>
      </c>
      <c r="H3" t="inlineStr">
        <is>
          <t>Direct</t>
        </is>
      </c>
      <c r="I3" t="inlineStr">
        <is>
          <t>Subscriptions</t>
        </is>
      </c>
      <c r="J3" t="inlineStr">
        <is>
          <t>Enterprise</t>
        </is>
      </c>
      <c r="K3" t="inlineStr">
        <is>
          <t>E. Nair</t>
        </is>
      </c>
      <c r="L3" t="n">
        <v>28</v>
      </c>
      <c r="M3" s="3" t="n">
        <v>369.92</v>
      </c>
      <c r="N3" s="3">
        <f>L3*M3</f>
        <v/>
      </c>
      <c r="O3" s="3">
        <f>N3*0.269</f>
        <v/>
      </c>
      <c r="P3" s="3">
        <f>N3-O3</f>
        <v/>
      </c>
      <c r="Q3" s="4">
        <f>IF(N3=0,0,P3/N3)</f>
        <v/>
      </c>
    </row>
    <row r="4">
      <c r="A4" t="inlineStr">
        <is>
          <t>ORD-1002</t>
        </is>
      </c>
      <c r="B4" s="2" t="n">
        <v>45579</v>
      </c>
      <c r="C4" t="n">
        <v>2024</v>
      </c>
      <c r="D4" t="inlineStr">
        <is>
          <t>Q4</t>
        </is>
      </c>
      <c r="E4" t="inlineStr">
        <is>
          <t>Oct</t>
        </is>
      </c>
      <c r="F4" t="inlineStr">
        <is>
          <t>West</t>
        </is>
      </c>
      <c r="G4" t="inlineStr">
        <is>
          <t>SMB</t>
        </is>
      </c>
      <c r="H4" t="inlineStr">
        <is>
          <t>Partner</t>
        </is>
      </c>
      <c r="I4" t="inlineStr">
        <is>
          <t>Subscriptions</t>
        </is>
      </c>
      <c r="J4" t="inlineStr">
        <is>
          <t>Enterprise</t>
        </is>
      </c>
      <c r="K4" t="inlineStr">
        <is>
          <t>E. Nair</t>
        </is>
      </c>
      <c r="L4" t="n">
        <v>42</v>
      </c>
      <c r="M4" s="3" t="n">
        <v>1842.91</v>
      </c>
      <c r="N4" s="3">
        <f>L4*M4</f>
        <v/>
      </c>
      <c r="O4" s="3">
        <f>N4*0.367</f>
        <v/>
      </c>
      <c r="P4" s="3">
        <f>N4-O4</f>
        <v/>
      </c>
      <c r="Q4" s="4">
        <f>IF(N4=0,0,P4/N4)</f>
        <v/>
      </c>
    </row>
    <row r="5">
      <c r="A5" t="inlineStr">
        <is>
          <t>ORD-1003</t>
        </is>
      </c>
      <c r="B5" s="2" t="n">
        <v>45295</v>
      </c>
      <c r="C5" t="n">
        <v>2024</v>
      </c>
      <c r="D5" t="inlineStr">
        <is>
          <t>Q1</t>
        </is>
      </c>
      <c r="E5" t="inlineStr">
        <is>
          <t>Jan</t>
        </is>
      </c>
      <c r="F5" t="inlineStr">
        <is>
          <t>South</t>
        </is>
      </c>
      <c r="G5" t="inlineStr">
        <is>
          <t>SMB</t>
        </is>
      </c>
      <c r="H5" t="inlineStr">
        <is>
          <t>Partner</t>
        </is>
      </c>
      <c r="I5" t="inlineStr">
        <is>
          <t>Subscriptions</t>
        </is>
      </c>
      <c r="J5" t="inlineStr">
        <is>
          <t>Enterprise</t>
        </is>
      </c>
      <c r="K5" t="inlineStr">
        <is>
          <t>A. Rao</t>
        </is>
      </c>
      <c r="L5" t="n">
        <v>28</v>
      </c>
      <c r="M5" s="3" t="n">
        <v>1048.55</v>
      </c>
      <c r="N5" s="3">
        <f>L5*M5</f>
        <v/>
      </c>
      <c r="O5" s="3">
        <f>N5*0.422</f>
        <v/>
      </c>
      <c r="P5" s="3">
        <f>N5-O5</f>
        <v/>
      </c>
      <c r="Q5" s="4">
        <f>IF(N5=0,0,P5/N5)</f>
        <v/>
      </c>
    </row>
    <row r="6">
      <c r="A6" t="inlineStr">
        <is>
          <t>ORD-1004</t>
        </is>
      </c>
      <c r="B6" s="2" t="n">
        <v>45341</v>
      </c>
      <c r="C6" t="n">
        <v>2024</v>
      </c>
      <c r="D6" t="inlineStr">
        <is>
          <t>Q1</t>
        </is>
      </c>
      <c r="E6" t="inlineStr">
        <is>
          <t>Feb</t>
        </is>
      </c>
      <c r="F6" t="inlineStr">
        <is>
          <t>North</t>
        </is>
      </c>
      <c r="G6" t="inlineStr">
        <is>
          <t>Enterprise</t>
        </is>
      </c>
      <c r="H6" t="inlineStr">
        <is>
          <t>Partner</t>
        </is>
      </c>
      <c r="I6" t="inlineStr">
        <is>
          <t>Add-ons</t>
        </is>
      </c>
      <c r="J6" t="inlineStr">
        <is>
          <t>Support Plus</t>
        </is>
      </c>
      <c r="K6" t="inlineStr">
        <is>
          <t>E. Nair</t>
        </is>
      </c>
      <c r="L6" t="n">
        <v>39</v>
      </c>
      <c r="M6" s="3" t="n">
        <v>881.95</v>
      </c>
      <c r="N6" s="3">
        <f>L6*M6</f>
        <v/>
      </c>
      <c r="O6" s="3">
        <f>N6*0.413</f>
        <v/>
      </c>
      <c r="P6" s="3">
        <f>N6-O6</f>
        <v/>
      </c>
      <c r="Q6" s="4">
        <f>IF(N6=0,0,P6/N6)</f>
        <v/>
      </c>
    </row>
    <row r="7">
      <c r="A7" t="inlineStr">
        <is>
          <t>ORD-1005</t>
        </is>
      </c>
      <c r="B7" s="2" t="n">
        <v>45485</v>
      </c>
      <c r="C7" t="n">
        <v>2024</v>
      </c>
      <c r="D7" t="inlineStr">
        <is>
          <t>Q3</t>
        </is>
      </c>
      <c r="E7" t="inlineStr">
        <is>
          <t>Jul</t>
        </is>
      </c>
      <c r="F7" t="inlineStr">
        <is>
          <t>East</t>
        </is>
      </c>
      <c r="G7" t="inlineStr">
        <is>
          <t>Enterprise</t>
        </is>
      </c>
      <c r="H7" t="inlineStr">
        <is>
          <t>Direct</t>
        </is>
      </c>
      <c r="I7" t="inlineStr">
        <is>
          <t>Subscriptions</t>
        </is>
      </c>
      <c r="J7" t="inlineStr">
        <is>
          <t>Enterprise</t>
        </is>
      </c>
      <c r="K7" t="inlineStr">
        <is>
          <t>F. Shah</t>
        </is>
      </c>
      <c r="L7" t="n">
        <v>19</v>
      </c>
      <c r="M7" s="3" t="n">
        <v>2124.69</v>
      </c>
      <c r="N7" s="3">
        <f>L7*M7</f>
        <v/>
      </c>
      <c r="O7" s="3">
        <f>N7*0.429</f>
        <v/>
      </c>
      <c r="P7" s="3">
        <f>N7-O7</f>
        <v/>
      </c>
      <c r="Q7" s="4">
        <f>IF(N7=0,0,P7/N7)</f>
        <v/>
      </c>
    </row>
    <row r="8">
      <c r="A8" t="inlineStr">
        <is>
          <t>ORD-1006</t>
        </is>
      </c>
      <c r="B8" s="2" t="n">
        <v>45630</v>
      </c>
      <c r="C8" t="n">
        <v>2024</v>
      </c>
      <c r="D8" t="inlineStr">
        <is>
          <t>Q4</t>
        </is>
      </c>
      <c r="E8" t="inlineStr">
        <is>
          <t>Dec</t>
        </is>
      </c>
      <c r="F8" t="inlineStr">
        <is>
          <t>North</t>
        </is>
      </c>
      <c r="G8" t="inlineStr">
        <is>
          <t>Mid-Market</t>
        </is>
      </c>
      <c r="H8" t="inlineStr">
        <is>
          <t>Partner</t>
        </is>
      </c>
      <c r="I8" t="inlineStr">
        <is>
          <t>Subscriptions</t>
        </is>
      </c>
      <c r="J8" t="inlineStr">
        <is>
          <t>Pro</t>
        </is>
      </c>
      <c r="K8" t="inlineStr">
        <is>
          <t>D. Iyer</t>
        </is>
      </c>
      <c r="L8" t="n">
        <v>6</v>
      </c>
      <c r="M8" s="3" t="n">
        <v>2181.7</v>
      </c>
      <c r="N8" s="3">
        <f>L8*M8</f>
        <v/>
      </c>
      <c r="O8" s="3">
        <f>N8*0.259</f>
        <v/>
      </c>
      <c r="P8" s="3">
        <f>N8-O8</f>
        <v/>
      </c>
      <c r="Q8" s="4">
        <f>IF(N8=0,0,P8/N8)</f>
        <v/>
      </c>
    </row>
    <row r="9">
      <c r="A9" t="inlineStr">
        <is>
          <t>ORD-1007</t>
        </is>
      </c>
      <c r="B9" s="2" t="n">
        <v>45478</v>
      </c>
      <c r="C9" t="n">
        <v>2024</v>
      </c>
      <c r="D9" t="inlineStr">
        <is>
          <t>Q3</t>
        </is>
      </c>
      <c r="E9" t="inlineStr">
        <is>
          <t>Jul</t>
        </is>
      </c>
      <c r="F9" t="inlineStr">
        <is>
          <t>East</t>
        </is>
      </c>
      <c r="G9" t="inlineStr">
        <is>
          <t>Enterprise</t>
        </is>
      </c>
      <c r="H9" t="inlineStr">
        <is>
          <t>Self-serve</t>
        </is>
      </c>
      <c r="I9" t="inlineStr">
        <is>
          <t>Subscriptions</t>
        </is>
      </c>
      <c r="J9" t="inlineStr">
        <is>
          <t>Pro</t>
        </is>
      </c>
      <c r="K9" t="inlineStr">
        <is>
          <t>F. Shah</t>
        </is>
      </c>
      <c r="L9" t="n">
        <v>23</v>
      </c>
      <c r="M9" s="3" t="n">
        <v>760.92</v>
      </c>
      <c r="N9" s="3">
        <f>L9*M9</f>
        <v/>
      </c>
      <c r="O9" s="3">
        <f>N9*0.429</f>
        <v/>
      </c>
      <c r="P9" s="3">
        <f>N9-O9</f>
        <v/>
      </c>
      <c r="Q9" s="4">
        <f>IF(N9=0,0,P9/N9)</f>
        <v/>
      </c>
    </row>
    <row r="10">
      <c r="A10" t="inlineStr">
        <is>
          <t>ORD-1008</t>
        </is>
      </c>
      <c r="B10" s="2" t="n">
        <v>45617</v>
      </c>
      <c r="C10" t="n">
        <v>2024</v>
      </c>
      <c r="D10" t="inlineStr">
        <is>
          <t>Q4</t>
        </is>
      </c>
      <c r="E10" t="inlineStr">
        <is>
          <t>Nov</t>
        </is>
      </c>
      <c r="F10" t="inlineStr">
        <is>
          <t>West</t>
        </is>
      </c>
      <c r="G10" t="inlineStr">
        <is>
          <t>Mid-Market</t>
        </is>
      </c>
      <c r="H10" t="inlineStr">
        <is>
          <t>Partner</t>
        </is>
      </c>
      <c r="I10" t="inlineStr">
        <is>
          <t>Subscriptions</t>
        </is>
      </c>
      <c r="J10" t="inlineStr">
        <is>
          <t>Enterprise</t>
        </is>
      </c>
      <c r="K10" t="inlineStr">
        <is>
          <t>F. Shah</t>
        </is>
      </c>
      <c r="L10" t="n">
        <v>47</v>
      </c>
      <c r="M10" s="3" t="n">
        <v>838.58</v>
      </c>
      <c r="N10" s="3">
        <f>L10*M10</f>
        <v/>
      </c>
      <c r="O10" s="3">
        <f>N10*0.244</f>
        <v/>
      </c>
      <c r="P10" s="3">
        <f>N10-O10</f>
        <v/>
      </c>
      <c r="Q10" s="4">
        <f>IF(N10=0,0,P10/N10)</f>
        <v/>
      </c>
    </row>
    <row r="11">
      <c r="A11" t="inlineStr">
        <is>
          <t>ORD-1009</t>
        </is>
      </c>
      <c r="B11" s="2" t="n">
        <v>45404</v>
      </c>
      <c r="C11" t="n">
        <v>2024</v>
      </c>
      <c r="D11" t="inlineStr">
        <is>
          <t>Q2</t>
        </is>
      </c>
      <c r="E11" t="inlineStr">
        <is>
          <t>Apr</t>
        </is>
      </c>
      <c r="F11" t="inlineStr">
        <is>
          <t>South</t>
        </is>
      </c>
      <c r="G11" t="inlineStr">
        <is>
          <t>SMB</t>
        </is>
      </c>
      <c r="H11" t="inlineStr">
        <is>
          <t>Partner</t>
        </is>
      </c>
      <c r="I11" t="inlineStr">
        <is>
          <t>Services</t>
        </is>
      </c>
      <c r="J11" t="inlineStr">
        <is>
          <t>Training</t>
        </is>
      </c>
      <c r="K11" t="inlineStr">
        <is>
          <t>D. Iyer</t>
        </is>
      </c>
      <c r="L11" t="n">
        <v>50</v>
      </c>
      <c r="M11" s="3" t="n">
        <v>2007.2</v>
      </c>
      <c r="N11" s="3">
        <f>L11*M11</f>
        <v/>
      </c>
      <c r="O11" s="3">
        <f>N11*0.37</f>
        <v/>
      </c>
      <c r="P11" s="3">
        <f>N11-O11</f>
        <v/>
      </c>
      <c r="Q11" s="4">
        <f>IF(N11=0,0,P11/N11)</f>
        <v/>
      </c>
    </row>
    <row r="12">
      <c r="A12" t="inlineStr">
        <is>
          <t>ORD-1010</t>
        </is>
      </c>
      <c r="B12" s="2" t="n">
        <v>45400</v>
      </c>
      <c r="C12" t="n">
        <v>2024</v>
      </c>
      <c r="D12" t="inlineStr">
        <is>
          <t>Q2</t>
        </is>
      </c>
      <c r="E12" t="inlineStr">
        <is>
          <t>Apr</t>
        </is>
      </c>
      <c r="F12" t="inlineStr">
        <is>
          <t>West</t>
        </is>
      </c>
      <c r="G12" t="inlineStr">
        <is>
          <t>Enterprise</t>
        </is>
      </c>
      <c r="H12" t="inlineStr">
        <is>
          <t>Partner</t>
        </is>
      </c>
      <c r="I12" t="inlineStr">
        <is>
          <t>Services</t>
        </is>
      </c>
      <c r="J12" t="inlineStr">
        <is>
          <t>Training</t>
        </is>
      </c>
      <c r="K12" t="inlineStr">
        <is>
          <t>B. Khan</t>
        </is>
      </c>
      <c r="L12" t="n">
        <v>14</v>
      </c>
      <c r="M12" s="3" t="n">
        <v>1741.97</v>
      </c>
      <c r="N12" s="3">
        <f>L12*M12</f>
        <v/>
      </c>
      <c r="O12" s="3">
        <f>N12*0.371</f>
        <v/>
      </c>
      <c r="P12" s="3">
        <f>N12-O12</f>
        <v/>
      </c>
      <c r="Q12" s="4">
        <f>IF(N12=0,0,P12/N12)</f>
        <v/>
      </c>
    </row>
    <row r="13">
      <c r="A13" t="inlineStr">
        <is>
          <t>ORD-1011</t>
        </is>
      </c>
      <c r="B13" s="2" t="n">
        <v>45418</v>
      </c>
      <c r="C13" t="n">
        <v>2024</v>
      </c>
      <c r="D13" t="inlineStr">
        <is>
          <t>Q2</t>
        </is>
      </c>
      <c r="E13" t="inlineStr">
        <is>
          <t>May</t>
        </is>
      </c>
      <c r="F13" t="inlineStr">
        <is>
          <t>West</t>
        </is>
      </c>
      <c r="G13" t="inlineStr">
        <is>
          <t>Mid-Market</t>
        </is>
      </c>
      <c r="H13" t="inlineStr">
        <is>
          <t>Direct</t>
        </is>
      </c>
      <c r="I13" t="inlineStr">
        <is>
          <t>Services</t>
        </is>
      </c>
      <c r="J13" t="inlineStr">
        <is>
          <t>Training</t>
        </is>
      </c>
      <c r="K13" t="inlineStr">
        <is>
          <t>B. Khan</t>
        </is>
      </c>
      <c r="L13" t="n">
        <v>48</v>
      </c>
      <c r="M13" s="3" t="n">
        <v>1586.09</v>
      </c>
      <c r="N13" s="3">
        <f>L13*M13</f>
        <v/>
      </c>
      <c r="O13" s="3">
        <f>N13*0.297</f>
        <v/>
      </c>
      <c r="P13" s="3">
        <f>N13-O13</f>
        <v/>
      </c>
      <c r="Q13" s="4">
        <f>IF(N13=0,0,P13/N13)</f>
        <v/>
      </c>
    </row>
    <row r="14">
      <c r="A14" t="inlineStr">
        <is>
          <t>ORD-1012</t>
        </is>
      </c>
      <c r="B14" s="2" t="n">
        <v>45338</v>
      </c>
      <c r="C14" t="n">
        <v>2024</v>
      </c>
      <c r="D14" t="inlineStr">
        <is>
          <t>Q1</t>
        </is>
      </c>
      <c r="E14" t="inlineStr">
        <is>
          <t>Feb</t>
        </is>
      </c>
      <c r="F14" t="inlineStr">
        <is>
          <t>West</t>
        </is>
      </c>
      <c r="G14" t="inlineStr">
        <is>
          <t>Enterprise</t>
        </is>
      </c>
      <c r="H14" t="inlineStr">
        <is>
          <t>Direct</t>
        </is>
      </c>
      <c r="I14" t="inlineStr">
        <is>
          <t>Subscriptions</t>
        </is>
      </c>
      <c r="J14" t="inlineStr">
        <is>
          <t>Starter</t>
        </is>
      </c>
      <c r="K14" t="inlineStr">
        <is>
          <t>D. Iyer</t>
        </is>
      </c>
      <c r="L14" t="n">
        <v>10</v>
      </c>
      <c r="M14" s="3" t="n">
        <v>1680.38</v>
      </c>
      <c r="N14" s="3">
        <f>L14*M14</f>
        <v/>
      </c>
      <c r="O14" s="3">
        <f>N14*0.336</f>
        <v/>
      </c>
      <c r="P14" s="3">
        <f>N14-O14</f>
        <v/>
      </c>
      <c r="Q14" s="4">
        <f>IF(N14=0,0,P14/N14)</f>
        <v/>
      </c>
    </row>
    <row r="15">
      <c r="A15" t="inlineStr">
        <is>
          <t>ORD-1013</t>
        </is>
      </c>
      <c r="B15" s="2" t="n">
        <v>45531</v>
      </c>
      <c r="C15" t="n">
        <v>2024</v>
      </c>
      <c r="D15" t="inlineStr">
        <is>
          <t>Q3</t>
        </is>
      </c>
      <c r="E15" t="inlineStr">
        <is>
          <t>Aug</t>
        </is>
      </c>
      <c r="F15" t="inlineStr">
        <is>
          <t>North</t>
        </is>
      </c>
      <c r="G15" t="inlineStr">
        <is>
          <t>Enterprise</t>
        </is>
      </c>
      <c r="H15" t="inlineStr">
        <is>
          <t>Self-serve</t>
        </is>
      </c>
      <c r="I15" t="inlineStr">
        <is>
          <t>Services</t>
        </is>
      </c>
      <c r="J15" t="inlineStr">
        <is>
          <t>Training</t>
        </is>
      </c>
      <c r="K15" t="inlineStr">
        <is>
          <t>A. Rao</t>
        </is>
      </c>
      <c r="L15" t="n">
        <v>36</v>
      </c>
      <c r="M15" s="3" t="n">
        <v>2193.72</v>
      </c>
      <c r="N15" s="3">
        <f>L15*M15</f>
        <v/>
      </c>
      <c r="O15" s="3">
        <f>N15*0.245</f>
        <v/>
      </c>
      <c r="P15" s="3">
        <f>N15-O15</f>
        <v/>
      </c>
      <c r="Q15" s="4">
        <f>IF(N15=0,0,P15/N15)</f>
        <v/>
      </c>
    </row>
    <row r="16">
      <c r="A16" t="inlineStr">
        <is>
          <t>ORD-1014</t>
        </is>
      </c>
      <c r="B16" s="2" t="n">
        <v>45566</v>
      </c>
      <c r="C16" t="n">
        <v>2024</v>
      </c>
      <c r="D16" t="inlineStr">
        <is>
          <t>Q4</t>
        </is>
      </c>
      <c r="E16" t="inlineStr">
        <is>
          <t>Oct</t>
        </is>
      </c>
      <c r="F16" t="inlineStr">
        <is>
          <t>West</t>
        </is>
      </c>
      <c r="G16" t="inlineStr">
        <is>
          <t>SMB</t>
        </is>
      </c>
      <c r="H16" t="inlineStr">
        <is>
          <t>Partner</t>
        </is>
      </c>
      <c r="I16" t="inlineStr">
        <is>
          <t>Add-ons</t>
        </is>
      </c>
      <c r="J16" t="inlineStr">
        <is>
          <t>Extra Seats</t>
        </is>
      </c>
      <c r="K16" t="inlineStr">
        <is>
          <t>A. Rao</t>
        </is>
      </c>
      <c r="L16" t="n">
        <v>22</v>
      </c>
      <c r="M16" s="3" t="n">
        <v>545.41</v>
      </c>
      <c r="N16" s="3">
        <f>L16*M16</f>
        <v/>
      </c>
      <c r="O16" s="3">
        <f>N16*0.164</f>
        <v/>
      </c>
      <c r="P16" s="3">
        <f>N16-O16</f>
        <v/>
      </c>
      <c r="Q16" s="4">
        <f>IF(N16=0,0,P16/N16)</f>
        <v/>
      </c>
    </row>
    <row r="17">
      <c r="A17" t="inlineStr">
        <is>
          <t>ORD-1015</t>
        </is>
      </c>
      <c r="B17" s="2" t="n">
        <v>45426</v>
      </c>
      <c r="C17" t="n">
        <v>2024</v>
      </c>
      <c r="D17" t="inlineStr">
        <is>
          <t>Q2</t>
        </is>
      </c>
      <c r="E17" t="inlineStr">
        <is>
          <t>May</t>
        </is>
      </c>
      <c r="F17" t="inlineStr">
        <is>
          <t>East</t>
        </is>
      </c>
      <c r="G17" t="inlineStr">
        <is>
          <t>Enterprise</t>
        </is>
      </c>
      <c r="H17" t="inlineStr">
        <is>
          <t>Self-serve</t>
        </is>
      </c>
      <c r="I17" t="inlineStr">
        <is>
          <t>Services</t>
        </is>
      </c>
      <c r="J17" t="inlineStr">
        <is>
          <t>Onboarding</t>
        </is>
      </c>
      <c r="K17" t="inlineStr">
        <is>
          <t>E. Nair</t>
        </is>
      </c>
      <c r="L17" t="n">
        <v>33</v>
      </c>
      <c r="M17" s="3" t="n">
        <v>2307.78</v>
      </c>
      <c r="N17" s="3">
        <f>L17*M17</f>
        <v/>
      </c>
      <c r="O17" s="3">
        <f>N17*0.39</f>
        <v/>
      </c>
      <c r="P17" s="3">
        <f>N17-O17</f>
        <v/>
      </c>
      <c r="Q17" s="4">
        <f>IF(N17=0,0,P17/N17)</f>
        <v/>
      </c>
    </row>
    <row r="18">
      <c r="A18" t="inlineStr">
        <is>
          <t>ORD-1016</t>
        </is>
      </c>
      <c r="B18" s="2" t="n">
        <v>45483</v>
      </c>
      <c r="C18" t="n">
        <v>2024</v>
      </c>
      <c r="D18" t="inlineStr">
        <is>
          <t>Q3</t>
        </is>
      </c>
      <c r="E18" t="inlineStr">
        <is>
          <t>Jul</t>
        </is>
      </c>
      <c r="F18" t="inlineStr">
        <is>
          <t>North</t>
        </is>
      </c>
      <c r="G18" t="inlineStr">
        <is>
          <t>Enterprise</t>
        </is>
      </c>
      <c r="H18" t="inlineStr">
        <is>
          <t>Partner</t>
        </is>
      </c>
      <c r="I18" t="inlineStr">
        <is>
          <t>Subscriptions</t>
        </is>
      </c>
      <c r="J18" t="inlineStr">
        <is>
          <t>Enterprise</t>
        </is>
      </c>
      <c r="K18" t="inlineStr">
        <is>
          <t>D. Iyer</t>
        </is>
      </c>
      <c r="L18" t="n">
        <v>50</v>
      </c>
      <c r="M18" s="3" t="n">
        <v>2329.35</v>
      </c>
      <c r="N18" s="3">
        <f>L18*M18</f>
        <v/>
      </c>
      <c r="O18" s="3">
        <f>N18*0.444</f>
        <v/>
      </c>
      <c r="P18" s="3">
        <f>N18-O18</f>
        <v/>
      </c>
      <c r="Q18" s="4">
        <f>IF(N18=0,0,P18/N18)</f>
        <v/>
      </c>
    </row>
    <row r="19">
      <c r="A19" t="inlineStr">
        <is>
          <t>ORD-1017</t>
        </is>
      </c>
      <c r="B19" s="2" t="n">
        <v>45477</v>
      </c>
      <c r="C19" t="n">
        <v>2024</v>
      </c>
      <c r="D19" t="inlineStr">
        <is>
          <t>Q3</t>
        </is>
      </c>
      <c r="E19" t="inlineStr">
        <is>
          <t>Jul</t>
        </is>
      </c>
      <c r="F19" t="inlineStr">
        <is>
          <t>North</t>
        </is>
      </c>
      <c r="G19" t="inlineStr">
        <is>
          <t>SMB</t>
        </is>
      </c>
      <c r="H19" t="inlineStr">
        <is>
          <t>Self-serve</t>
        </is>
      </c>
      <c r="I19" t="inlineStr">
        <is>
          <t>Add-ons</t>
        </is>
      </c>
      <c r="J19" t="inlineStr">
        <is>
          <t>Analytics</t>
        </is>
      </c>
      <c r="K19" t="inlineStr">
        <is>
          <t>D. Iyer</t>
        </is>
      </c>
      <c r="L19" t="n">
        <v>4</v>
      </c>
      <c r="M19" s="3" t="n">
        <v>829.92</v>
      </c>
      <c r="N19" s="3">
        <f>L19*M19</f>
        <v/>
      </c>
      <c r="O19" s="3">
        <f>N19*0.205</f>
        <v/>
      </c>
      <c r="P19" s="3">
        <f>N19-O19</f>
        <v/>
      </c>
      <c r="Q19" s="4">
        <f>IF(N19=0,0,P19/N19)</f>
        <v/>
      </c>
    </row>
    <row r="20">
      <c r="A20" t="inlineStr">
        <is>
          <t>ORD-1018</t>
        </is>
      </c>
      <c r="B20" s="2" t="n">
        <v>45564</v>
      </c>
      <c r="C20" t="n">
        <v>2024</v>
      </c>
      <c r="D20" t="inlineStr">
        <is>
          <t>Q3</t>
        </is>
      </c>
      <c r="E20" t="inlineStr">
        <is>
          <t>Sep</t>
        </is>
      </c>
      <c r="F20" t="inlineStr">
        <is>
          <t>South</t>
        </is>
      </c>
      <c r="G20" t="inlineStr">
        <is>
          <t>Mid-Market</t>
        </is>
      </c>
      <c r="H20" t="inlineStr">
        <is>
          <t>Self-serve</t>
        </is>
      </c>
      <c r="I20" t="inlineStr">
        <is>
          <t>Subscriptions</t>
        </is>
      </c>
      <c r="J20" t="inlineStr">
        <is>
          <t>Starter</t>
        </is>
      </c>
      <c r="K20" t="inlineStr">
        <is>
          <t>E. Nair</t>
        </is>
      </c>
      <c r="L20" t="n">
        <v>43</v>
      </c>
      <c r="M20" s="3" t="n">
        <v>1345.62</v>
      </c>
      <c r="N20" s="3">
        <f>L20*M20</f>
        <v/>
      </c>
      <c r="O20" s="3">
        <f>N20*0.323</f>
        <v/>
      </c>
      <c r="P20" s="3">
        <f>N20-O20</f>
        <v/>
      </c>
      <c r="Q20" s="4">
        <f>IF(N20=0,0,P20/N20)</f>
        <v/>
      </c>
    </row>
    <row r="21">
      <c r="A21" t="inlineStr">
        <is>
          <t>ORD-1019</t>
        </is>
      </c>
      <c r="B21" s="2" t="n">
        <v>45400</v>
      </c>
      <c r="C21" t="n">
        <v>2024</v>
      </c>
      <c r="D21" t="inlineStr">
        <is>
          <t>Q2</t>
        </is>
      </c>
      <c r="E21" t="inlineStr">
        <is>
          <t>Apr</t>
        </is>
      </c>
      <c r="F21" t="inlineStr">
        <is>
          <t>East</t>
        </is>
      </c>
      <c r="G21" t="inlineStr">
        <is>
          <t>Mid-Market</t>
        </is>
      </c>
      <c r="H21" t="inlineStr">
        <is>
          <t>Self-serve</t>
        </is>
      </c>
      <c r="I21" t="inlineStr">
        <is>
          <t>Services</t>
        </is>
      </c>
      <c r="J21" t="inlineStr">
        <is>
          <t>Onboarding</t>
        </is>
      </c>
      <c r="K21" t="inlineStr">
        <is>
          <t>D. Iyer</t>
        </is>
      </c>
      <c r="L21" t="n">
        <v>46</v>
      </c>
      <c r="M21" s="3" t="n">
        <v>985.78</v>
      </c>
      <c r="N21" s="3">
        <f>L21*M21</f>
        <v/>
      </c>
      <c r="O21" s="3">
        <f>N21*0.414</f>
        <v/>
      </c>
      <c r="P21" s="3">
        <f>N21-O21</f>
        <v/>
      </c>
      <c r="Q21" s="4">
        <f>IF(N21=0,0,P21/N21)</f>
        <v/>
      </c>
    </row>
    <row r="22">
      <c r="A22" t="inlineStr">
        <is>
          <t>ORD-1020</t>
        </is>
      </c>
      <c r="B22" s="2" t="n">
        <v>45407</v>
      </c>
      <c r="C22" t="n">
        <v>2024</v>
      </c>
      <c r="D22" t="inlineStr">
        <is>
          <t>Q2</t>
        </is>
      </c>
      <c r="E22" t="inlineStr">
        <is>
          <t>Apr</t>
        </is>
      </c>
      <c r="F22" t="inlineStr">
        <is>
          <t>South</t>
        </is>
      </c>
      <c r="G22" t="inlineStr">
        <is>
          <t>Enterprise</t>
        </is>
      </c>
      <c r="H22" t="inlineStr">
        <is>
          <t>Direct</t>
        </is>
      </c>
      <c r="I22" t="inlineStr">
        <is>
          <t>Subscriptions</t>
        </is>
      </c>
      <c r="J22" t="inlineStr">
        <is>
          <t>Pro</t>
        </is>
      </c>
      <c r="K22" t="inlineStr">
        <is>
          <t>A. Rao</t>
        </is>
      </c>
      <c r="L22" t="n">
        <v>2</v>
      </c>
      <c r="M22" s="3" t="n">
        <v>1594.28</v>
      </c>
      <c r="N22" s="3">
        <f>L22*M22</f>
        <v/>
      </c>
      <c r="O22" s="3">
        <f>N22*0.429</f>
        <v/>
      </c>
      <c r="P22" s="3">
        <f>N22-O22</f>
        <v/>
      </c>
      <c r="Q22" s="4">
        <f>IF(N22=0,0,P22/N22)</f>
        <v/>
      </c>
    </row>
    <row r="23">
      <c r="A23" t="inlineStr">
        <is>
          <t>ORD-1021</t>
        </is>
      </c>
      <c r="B23" s="2" t="n">
        <v>45615</v>
      </c>
      <c r="C23" t="n">
        <v>2024</v>
      </c>
      <c r="D23" t="inlineStr">
        <is>
          <t>Q4</t>
        </is>
      </c>
      <c r="E23" t="inlineStr">
        <is>
          <t>Nov</t>
        </is>
      </c>
      <c r="F23" t="inlineStr">
        <is>
          <t>East</t>
        </is>
      </c>
      <c r="G23" t="inlineStr">
        <is>
          <t>SMB</t>
        </is>
      </c>
      <c r="H23" t="inlineStr">
        <is>
          <t>Self-serve</t>
        </is>
      </c>
      <c r="I23" t="inlineStr">
        <is>
          <t>Subscriptions</t>
        </is>
      </c>
      <c r="J23" t="inlineStr">
        <is>
          <t>Starter</t>
        </is>
      </c>
      <c r="K23" t="inlineStr">
        <is>
          <t>B. Khan</t>
        </is>
      </c>
      <c r="L23" t="n">
        <v>5</v>
      </c>
      <c r="M23" s="3" t="n">
        <v>2291.92</v>
      </c>
      <c r="N23" s="3">
        <f>L23*M23</f>
        <v/>
      </c>
      <c r="O23" s="3">
        <f>N23*0.366</f>
        <v/>
      </c>
      <c r="P23" s="3">
        <f>N23-O23</f>
        <v/>
      </c>
      <c r="Q23" s="4">
        <f>IF(N23=0,0,P23/N23)</f>
        <v/>
      </c>
    </row>
    <row r="24">
      <c r="A24" t="inlineStr">
        <is>
          <t>ORD-1022</t>
        </is>
      </c>
      <c r="B24" s="2" t="n">
        <v>45540</v>
      </c>
      <c r="C24" t="n">
        <v>2024</v>
      </c>
      <c r="D24" t="inlineStr">
        <is>
          <t>Q3</t>
        </is>
      </c>
      <c r="E24" t="inlineStr">
        <is>
          <t>Sep</t>
        </is>
      </c>
      <c r="F24" t="inlineStr">
        <is>
          <t>West</t>
        </is>
      </c>
      <c r="G24" t="inlineStr">
        <is>
          <t>SMB</t>
        </is>
      </c>
      <c r="H24" t="inlineStr">
        <is>
          <t>Partner</t>
        </is>
      </c>
      <c r="I24" t="inlineStr">
        <is>
          <t>Subscriptions</t>
        </is>
      </c>
      <c r="J24" t="inlineStr">
        <is>
          <t>Enterprise</t>
        </is>
      </c>
      <c r="K24" t="inlineStr">
        <is>
          <t>D. Iyer</t>
        </is>
      </c>
      <c r="L24" t="n">
        <v>9</v>
      </c>
      <c r="M24" s="3" t="n">
        <v>1891.38</v>
      </c>
      <c r="N24" s="3">
        <f>L24*M24</f>
        <v/>
      </c>
      <c r="O24" s="3">
        <f>N24*0.393</f>
        <v/>
      </c>
      <c r="P24" s="3">
        <f>N24-O24</f>
        <v/>
      </c>
      <c r="Q24" s="4">
        <f>IF(N24=0,0,P24/N24)</f>
        <v/>
      </c>
    </row>
    <row r="25">
      <c r="A25" t="inlineStr">
        <is>
          <t>ORD-1023</t>
        </is>
      </c>
      <c r="B25" s="2" t="n">
        <v>45341</v>
      </c>
      <c r="C25" t="n">
        <v>2024</v>
      </c>
      <c r="D25" t="inlineStr">
        <is>
          <t>Q1</t>
        </is>
      </c>
      <c r="E25" t="inlineStr">
        <is>
          <t>Feb</t>
        </is>
      </c>
      <c r="F25" t="inlineStr">
        <is>
          <t>West</t>
        </is>
      </c>
      <c r="G25" t="inlineStr">
        <is>
          <t>Enterprise</t>
        </is>
      </c>
      <c r="H25" t="inlineStr">
        <is>
          <t>Direct</t>
        </is>
      </c>
      <c r="I25" t="inlineStr">
        <is>
          <t>Services</t>
        </is>
      </c>
      <c r="J25" t="inlineStr">
        <is>
          <t>Training</t>
        </is>
      </c>
      <c r="K25" t="inlineStr">
        <is>
          <t>F. Shah</t>
        </is>
      </c>
      <c r="L25" t="n">
        <v>23</v>
      </c>
      <c r="M25" s="3" t="n">
        <v>1231.87</v>
      </c>
      <c r="N25" s="3">
        <f>L25*M25</f>
        <v/>
      </c>
      <c r="O25" s="3">
        <f>N25*0.254</f>
        <v/>
      </c>
      <c r="P25" s="3">
        <f>N25-O25</f>
        <v/>
      </c>
      <c r="Q25" s="4">
        <f>IF(N25=0,0,P25/N25)</f>
        <v/>
      </c>
    </row>
    <row r="26">
      <c r="A26" t="inlineStr">
        <is>
          <t>ORD-1024</t>
        </is>
      </c>
      <c r="B26" s="2" t="n">
        <v>45622</v>
      </c>
      <c r="C26" t="n">
        <v>2024</v>
      </c>
      <c r="D26" t="inlineStr">
        <is>
          <t>Q4</t>
        </is>
      </c>
      <c r="E26" t="inlineStr">
        <is>
          <t>Nov</t>
        </is>
      </c>
      <c r="F26" t="inlineStr">
        <is>
          <t>North</t>
        </is>
      </c>
      <c r="G26" t="inlineStr">
        <is>
          <t>SMB</t>
        </is>
      </c>
      <c r="H26" t="inlineStr">
        <is>
          <t>Direct</t>
        </is>
      </c>
      <c r="I26" t="inlineStr">
        <is>
          <t>Subscriptions</t>
        </is>
      </c>
      <c r="J26" t="inlineStr">
        <is>
          <t>Starter</t>
        </is>
      </c>
      <c r="K26" t="inlineStr">
        <is>
          <t>B. Khan</t>
        </is>
      </c>
      <c r="L26" t="n">
        <v>26</v>
      </c>
      <c r="M26" s="3" t="n">
        <v>1902.07</v>
      </c>
      <c r="N26" s="3">
        <f>L26*M26</f>
        <v/>
      </c>
      <c r="O26" s="3">
        <f>N26*0.289</f>
        <v/>
      </c>
      <c r="P26" s="3">
        <f>N26-O26</f>
        <v/>
      </c>
      <c r="Q26" s="4">
        <f>IF(N26=0,0,P26/N26)</f>
        <v/>
      </c>
    </row>
    <row r="27">
      <c r="A27" t="inlineStr">
        <is>
          <t>ORD-1025</t>
        </is>
      </c>
      <c r="B27" s="2" t="n">
        <v>45363</v>
      </c>
      <c r="C27" t="n">
        <v>2024</v>
      </c>
      <c r="D27" t="inlineStr">
        <is>
          <t>Q1</t>
        </is>
      </c>
      <c r="E27" t="inlineStr">
        <is>
          <t>Mar</t>
        </is>
      </c>
      <c r="F27" t="inlineStr">
        <is>
          <t>North</t>
        </is>
      </c>
      <c r="G27" t="inlineStr">
        <is>
          <t>Mid-Market</t>
        </is>
      </c>
      <c r="H27" t="inlineStr">
        <is>
          <t>Self-serve</t>
        </is>
      </c>
      <c r="I27" t="inlineStr">
        <is>
          <t>Add-ons</t>
        </is>
      </c>
      <c r="J27" t="inlineStr">
        <is>
          <t>Analytics</t>
        </is>
      </c>
      <c r="K27" t="inlineStr">
        <is>
          <t>A. Rao</t>
        </is>
      </c>
      <c r="L27" t="n">
        <v>18</v>
      </c>
      <c r="M27" s="3" t="n">
        <v>1317.78</v>
      </c>
      <c r="N27" s="3">
        <f>L27*M27</f>
        <v/>
      </c>
      <c r="O27" s="3">
        <f>N27*0.435</f>
        <v/>
      </c>
      <c r="P27" s="3">
        <f>N27-O27</f>
        <v/>
      </c>
      <c r="Q27" s="4">
        <f>IF(N27=0,0,P27/N27)</f>
        <v/>
      </c>
    </row>
    <row r="28">
      <c r="A28" t="inlineStr">
        <is>
          <t>ORD-1026</t>
        </is>
      </c>
      <c r="B28" s="2" t="n">
        <v>45568</v>
      </c>
      <c r="C28" t="n">
        <v>2024</v>
      </c>
      <c r="D28" t="inlineStr">
        <is>
          <t>Q4</t>
        </is>
      </c>
      <c r="E28" t="inlineStr">
        <is>
          <t>Oct</t>
        </is>
      </c>
      <c r="F28" t="inlineStr">
        <is>
          <t>South</t>
        </is>
      </c>
      <c r="G28" t="inlineStr">
        <is>
          <t>Mid-Market</t>
        </is>
      </c>
      <c r="H28" t="inlineStr">
        <is>
          <t>Partner</t>
        </is>
      </c>
      <c r="I28" t="inlineStr">
        <is>
          <t>Subscriptions</t>
        </is>
      </c>
      <c r="J28" t="inlineStr">
        <is>
          <t>Starter</t>
        </is>
      </c>
      <c r="K28" t="inlineStr">
        <is>
          <t>D. Iyer</t>
        </is>
      </c>
      <c r="L28" t="n">
        <v>49</v>
      </c>
      <c r="M28" s="3" t="n">
        <v>2167.13</v>
      </c>
      <c r="N28" s="3">
        <f>L28*M28</f>
        <v/>
      </c>
      <c r="O28" s="3">
        <f>N28*0.386</f>
        <v/>
      </c>
      <c r="P28" s="3">
        <f>N28-O28</f>
        <v/>
      </c>
      <c r="Q28" s="4">
        <f>IF(N28=0,0,P28/N28)</f>
        <v/>
      </c>
    </row>
    <row r="29">
      <c r="A29" t="inlineStr">
        <is>
          <t>ORD-1027</t>
        </is>
      </c>
      <c r="B29" s="2" t="n">
        <v>45497</v>
      </c>
      <c r="C29" t="n">
        <v>2024</v>
      </c>
      <c r="D29" t="inlineStr">
        <is>
          <t>Q3</t>
        </is>
      </c>
      <c r="E29" t="inlineStr">
        <is>
          <t>Jul</t>
        </is>
      </c>
      <c r="F29" t="inlineStr">
        <is>
          <t>West</t>
        </is>
      </c>
      <c r="G29" t="inlineStr">
        <is>
          <t>Mid-Market</t>
        </is>
      </c>
      <c r="H29" t="inlineStr">
        <is>
          <t>Partner</t>
        </is>
      </c>
      <c r="I29" t="inlineStr">
        <is>
          <t>Subscriptions</t>
        </is>
      </c>
      <c r="J29" t="inlineStr">
        <is>
          <t>Starter</t>
        </is>
      </c>
      <c r="K29" t="inlineStr">
        <is>
          <t>C. Mehta</t>
        </is>
      </c>
      <c r="L29" t="n">
        <v>25</v>
      </c>
      <c r="M29" s="3" t="n">
        <v>304.74</v>
      </c>
      <c r="N29" s="3">
        <f>L29*M29</f>
        <v/>
      </c>
      <c r="O29" s="3">
        <f>N29*0.323</f>
        <v/>
      </c>
      <c r="P29" s="3">
        <f>N29-O29</f>
        <v/>
      </c>
      <c r="Q29" s="4">
        <f>IF(N29=0,0,P29/N29)</f>
        <v/>
      </c>
    </row>
    <row r="30">
      <c r="A30" t="inlineStr">
        <is>
          <t>ORD-1028</t>
        </is>
      </c>
      <c r="B30" s="2" t="n">
        <v>45576</v>
      </c>
      <c r="C30" t="n">
        <v>2024</v>
      </c>
      <c r="D30" t="inlineStr">
        <is>
          <t>Q4</t>
        </is>
      </c>
      <c r="E30" t="inlineStr">
        <is>
          <t>Oct</t>
        </is>
      </c>
      <c r="F30" t="inlineStr">
        <is>
          <t>South</t>
        </is>
      </c>
      <c r="G30" t="inlineStr">
        <is>
          <t>SMB</t>
        </is>
      </c>
      <c r="H30" t="inlineStr">
        <is>
          <t>Self-serve</t>
        </is>
      </c>
      <c r="I30" t="inlineStr">
        <is>
          <t>Services</t>
        </is>
      </c>
      <c r="J30" t="inlineStr">
        <is>
          <t>Training</t>
        </is>
      </c>
      <c r="K30" t="inlineStr">
        <is>
          <t>F. Shah</t>
        </is>
      </c>
      <c r="L30" t="n">
        <v>10</v>
      </c>
      <c r="M30" s="3" t="n">
        <v>717.78</v>
      </c>
      <c r="N30" s="3">
        <f>L30*M30</f>
        <v/>
      </c>
      <c r="O30" s="3">
        <f>N30*0.287</f>
        <v/>
      </c>
      <c r="P30" s="3">
        <f>N30-O30</f>
        <v/>
      </c>
      <c r="Q30" s="4">
        <f>IF(N30=0,0,P30/N30)</f>
        <v/>
      </c>
    </row>
    <row r="31">
      <c r="A31" t="inlineStr">
        <is>
          <t>ORD-1029</t>
        </is>
      </c>
      <c r="B31" s="2" t="n">
        <v>45452</v>
      </c>
      <c r="C31" t="n">
        <v>2024</v>
      </c>
      <c r="D31" t="inlineStr">
        <is>
          <t>Q2</t>
        </is>
      </c>
      <c r="E31" t="inlineStr">
        <is>
          <t>Jun</t>
        </is>
      </c>
      <c r="F31" t="inlineStr">
        <is>
          <t>South</t>
        </is>
      </c>
      <c r="G31" t="inlineStr">
        <is>
          <t>SMB</t>
        </is>
      </c>
      <c r="H31" t="inlineStr">
        <is>
          <t>Self-serve</t>
        </is>
      </c>
      <c r="I31" t="inlineStr">
        <is>
          <t>Subscriptions</t>
        </is>
      </c>
      <c r="J31" t="inlineStr">
        <is>
          <t>Starter</t>
        </is>
      </c>
      <c r="K31" t="inlineStr">
        <is>
          <t>A. Rao</t>
        </is>
      </c>
      <c r="L31" t="n">
        <v>38</v>
      </c>
      <c r="M31" s="3" t="n">
        <v>1348.93</v>
      </c>
      <c r="N31" s="3">
        <f>L31*M31</f>
        <v/>
      </c>
      <c r="O31" s="3">
        <f>N31*0.195</f>
        <v/>
      </c>
      <c r="P31" s="3">
        <f>N31-O31</f>
        <v/>
      </c>
      <c r="Q31" s="4">
        <f>IF(N31=0,0,P31/N31)</f>
        <v/>
      </c>
    </row>
    <row r="32">
      <c r="A32" t="inlineStr">
        <is>
          <t>ORD-1030</t>
        </is>
      </c>
      <c r="B32" s="2" t="n">
        <v>45327</v>
      </c>
      <c r="C32" t="n">
        <v>2024</v>
      </c>
      <c r="D32" t="inlineStr">
        <is>
          <t>Q1</t>
        </is>
      </c>
      <c r="E32" t="inlineStr">
        <is>
          <t>Feb</t>
        </is>
      </c>
      <c r="F32" t="inlineStr">
        <is>
          <t>West</t>
        </is>
      </c>
      <c r="G32" t="inlineStr">
        <is>
          <t>SMB</t>
        </is>
      </c>
      <c r="H32" t="inlineStr">
        <is>
          <t>Self-serve</t>
        </is>
      </c>
      <c r="I32" t="inlineStr">
        <is>
          <t>Services</t>
        </is>
      </c>
      <c r="J32" t="inlineStr">
        <is>
          <t>Onboarding</t>
        </is>
      </c>
      <c r="K32" t="inlineStr">
        <is>
          <t>B. Khan</t>
        </is>
      </c>
      <c r="L32" t="n">
        <v>44</v>
      </c>
      <c r="M32" s="3" t="n">
        <v>2196</v>
      </c>
      <c r="N32" s="3">
        <f>L32*M32</f>
        <v/>
      </c>
      <c r="O32" s="3">
        <f>N32*0.276</f>
        <v/>
      </c>
      <c r="P32" s="3">
        <f>N32-O32</f>
        <v/>
      </c>
      <c r="Q32" s="4">
        <f>IF(N32=0,0,P32/N32)</f>
        <v/>
      </c>
    </row>
    <row r="33">
      <c r="A33" t="inlineStr">
        <is>
          <t>ORD-1031</t>
        </is>
      </c>
      <c r="B33" s="2" t="n">
        <v>45312</v>
      </c>
      <c r="C33" t="n">
        <v>2024</v>
      </c>
      <c r="D33" t="inlineStr">
        <is>
          <t>Q1</t>
        </is>
      </c>
      <c r="E33" t="inlineStr">
        <is>
          <t>Jan</t>
        </is>
      </c>
      <c r="F33" t="inlineStr">
        <is>
          <t>East</t>
        </is>
      </c>
      <c r="G33" t="inlineStr">
        <is>
          <t>Mid-Market</t>
        </is>
      </c>
      <c r="H33" t="inlineStr">
        <is>
          <t>Direct</t>
        </is>
      </c>
      <c r="I33" t="inlineStr">
        <is>
          <t>Services</t>
        </is>
      </c>
      <c r="J33" t="inlineStr">
        <is>
          <t>Onboarding</t>
        </is>
      </c>
      <c r="K33" t="inlineStr">
        <is>
          <t>F. Shah</t>
        </is>
      </c>
      <c r="L33" t="n">
        <v>27</v>
      </c>
      <c r="M33" s="3" t="n">
        <v>1746.22</v>
      </c>
      <c r="N33" s="3">
        <f>L33*M33</f>
        <v/>
      </c>
      <c r="O33" s="3">
        <f>N33*0.235</f>
        <v/>
      </c>
      <c r="P33" s="3">
        <f>N33-O33</f>
        <v/>
      </c>
      <c r="Q33" s="4">
        <f>IF(N33=0,0,P33/N33)</f>
        <v/>
      </c>
    </row>
    <row r="34">
      <c r="A34" t="inlineStr">
        <is>
          <t>ORD-1032</t>
        </is>
      </c>
      <c r="B34" s="2" t="n">
        <v>45414</v>
      </c>
      <c r="C34" t="n">
        <v>2024</v>
      </c>
      <c r="D34" t="inlineStr">
        <is>
          <t>Q2</t>
        </is>
      </c>
      <c r="E34" t="inlineStr">
        <is>
          <t>May</t>
        </is>
      </c>
      <c r="F34" t="inlineStr">
        <is>
          <t>East</t>
        </is>
      </c>
      <c r="G34" t="inlineStr">
        <is>
          <t>Mid-Market</t>
        </is>
      </c>
      <c r="H34" t="inlineStr">
        <is>
          <t>Partner</t>
        </is>
      </c>
      <c r="I34" t="inlineStr">
        <is>
          <t>Add-ons</t>
        </is>
      </c>
      <c r="J34" t="inlineStr">
        <is>
          <t>Support Plus</t>
        </is>
      </c>
      <c r="K34" t="inlineStr">
        <is>
          <t>A. Rao</t>
        </is>
      </c>
      <c r="L34" t="n">
        <v>9</v>
      </c>
      <c r="M34" s="3" t="n">
        <v>1777.72</v>
      </c>
      <c r="N34" s="3">
        <f>L34*M34</f>
        <v/>
      </c>
      <c r="O34" s="3">
        <f>N34*0.447</f>
        <v/>
      </c>
      <c r="P34" s="3">
        <f>N34-O34</f>
        <v/>
      </c>
      <c r="Q34" s="4">
        <f>IF(N34=0,0,P34/N34)</f>
        <v/>
      </c>
    </row>
    <row r="35">
      <c r="A35" t="inlineStr">
        <is>
          <t>ORD-1033</t>
        </is>
      </c>
      <c r="B35" s="2" t="n">
        <v>45610</v>
      </c>
      <c r="C35" t="n">
        <v>2024</v>
      </c>
      <c r="D35" t="inlineStr">
        <is>
          <t>Q4</t>
        </is>
      </c>
      <c r="E35" t="inlineStr">
        <is>
          <t>Nov</t>
        </is>
      </c>
      <c r="F35" t="inlineStr">
        <is>
          <t>East</t>
        </is>
      </c>
      <c r="G35" t="inlineStr">
        <is>
          <t>SMB</t>
        </is>
      </c>
      <c r="H35" t="inlineStr">
        <is>
          <t>Partner</t>
        </is>
      </c>
      <c r="I35" t="inlineStr">
        <is>
          <t>Services</t>
        </is>
      </c>
      <c r="J35" t="inlineStr">
        <is>
          <t>Onboarding</t>
        </is>
      </c>
      <c r="K35" t="inlineStr">
        <is>
          <t>A. Rao</t>
        </is>
      </c>
      <c r="L35" t="n">
        <v>5</v>
      </c>
      <c r="M35" s="3" t="n">
        <v>1482.8</v>
      </c>
      <c r="N35" s="3">
        <f>L35*M35</f>
        <v/>
      </c>
      <c r="O35" s="3">
        <f>N35*0.186</f>
        <v/>
      </c>
      <c r="P35" s="3">
        <f>N35-O35</f>
        <v/>
      </c>
      <c r="Q35" s="4">
        <f>IF(N35=0,0,P35/N35)</f>
        <v/>
      </c>
    </row>
    <row r="36">
      <c r="A36" t="inlineStr">
        <is>
          <t>ORD-1034</t>
        </is>
      </c>
      <c r="B36" s="2" t="n">
        <v>45481</v>
      </c>
      <c r="C36" t="n">
        <v>2024</v>
      </c>
      <c r="D36" t="inlineStr">
        <is>
          <t>Q3</t>
        </is>
      </c>
      <c r="E36" t="inlineStr">
        <is>
          <t>Jul</t>
        </is>
      </c>
      <c r="F36" t="inlineStr">
        <is>
          <t>East</t>
        </is>
      </c>
      <c r="G36" t="inlineStr">
        <is>
          <t>Enterprise</t>
        </is>
      </c>
      <c r="H36" t="inlineStr">
        <is>
          <t>Self-serve</t>
        </is>
      </c>
      <c r="I36" t="inlineStr">
        <is>
          <t>Add-ons</t>
        </is>
      </c>
      <c r="J36" t="inlineStr">
        <is>
          <t>Analytics</t>
        </is>
      </c>
      <c r="K36" t="inlineStr">
        <is>
          <t>E. Nair</t>
        </is>
      </c>
      <c r="L36" t="n">
        <v>29</v>
      </c>
      <c r="M36" s="3" t="n">
        <v>2134.24</v>
      </c>
      <c r="N36" s="3">
        <f>L36*M36</f>
        <v/>
      </c>
      <c r="O36" s="3">
        <f>N36*0.448</f>
        <v/>
      </c>
      <c r="P36" s="3">
        <f>N36-O36</f>
        <v/>
      </c>
      <c r="Q36" s="4">
        <f>IF(N36=0,0,P36/N36)</f>
        <v/>
      </c>
    </row>
    <row r="37">
      <c r="A37" t="inlineStr">
        <is>
          <t>ORD-1035</t>
        </is>
      </c>
      <c r="B37" s="2" t="n">
        <v>45575</v>
      </c>
      <c r="C37" t="n">
        <v>2024</v>
      </c>
      <c r="D37" t="inlineStr">
        <is>
          <t>Q4</t>
        </is>
      </c>
      <c r="E37" t="inlineStr">
        <is>
          <t>Oct</t>
        </is>
      </c>
      <c r="F37" t="inlineStr">
        <is>
          <t>South</t>
        </is>
      </c>
      <c r="G37" t="inlineStr">
        <is>
          <t>Mid-Market</t>
        </is>
      </c>
      <c r="H37" t="inlineStr">
        <is>
          <t>Direct</t>
        </is>
      </c>
      <c r="I37" t="inlineStr">
        <is>
          <t>Add-ons</t>
        </is>
      </c>
      <c r="J37" t="inlineStr">
        <is>
          <t>Extra Seats</t>
        </is>
      </c>
      <c r="K37" t="inlineStr">
        <is>
          <t>A. Rao</t>
        </is>
      </c>
      <c r="L37" t="n">
        <v>7</v>
      </c>
      <c r="M37" s="3" t="n">
        <v>2365.65</v>
      </c>
      <c r="N37" s="3">
        <f>L37*M37</f>
        <v/>
      </c>
      <c r="O37" s="3">
        <f>N37*0.227</f>
        <v/>
      </c>
      <c r="P37" s="3">
        <f>N37-O37</f>
        <v/>
      </c>
      <c r="Q37" s="4">
        <f>IF(N37=0,0,P37/N37)</f>
        <v/>
      </c>
    </row>
    <row r="38">
      <c r="A38" t="inlineStr">
        <is>
          <t>ORD-1036</t>
        </is>
      </c>
      <c r="B38" s="2" t="n">
        <v>45371</v>
      </c>
      <c r="C38" t="n">
        <v>2024</v>
      </c>
      <c r="D38" t="inlineStr">
        <is>
          <t>Q1</t>
        </is>
      </c>
      <c r="E38" t="inlineStr">
        <is>
          <t>Mar</t>
        </is>
      </c>
      <c r="F38" t="inlineStr">
        <is>
          <t>East</t>
        </is>
      </c>
      <c r="G38" t="inlineStr">
        <is>
          <t>SMB</t>
        </is>
      </c>
      <c r="H38" t="inlineStr">
        <is>
          <t>Self-serve</t>
        </is>
      </c>
      <c r="I38" t="inlineStr">
        <is>
          <t>Add-ons</t>
        </is>
      </c>
      <c r="J38" t="inlineStr">
        <is>
          <t>Support Plus</t>
        </is>
      </c>
      <c r="K38" t="inlineStr">
        <is>
          <t>F. Shah</t>
        </is>
      </c>
      <c r="L38" t="n">
        <v>39</v>
      </c>
      <c r="M38" s="3" t="n">
        <v>763.39</v>
      </c>
      <c r="N38" s="3">
        <f>L38*M38</f>
        <v/>
      </c>
      <c r="O38" s="3">
        <f>N38*0.194</f>
        <v/>
      </c>
      <c r="P38" s="3">
        <f>N38-O38</f>
        <v/>
      </c>
      <c r="Q38" s="4">
        <f>IF(N38=0,0,P38/N38)</f>
        <v/>
      </c>
    </row>
    <row r="39">
      <c r="A39" t="inlineStr">
        <is>
          <t>ORD-1037</t>
        </is>
      </c>
      <c r="B39" s="2" t="n">
        <v>45550</v>
      </c>
      <c r="C39" t="n">
        <v>2024</v>
      </c>
      <c r="D39" t="inlineStr">
        <is>
          <t>Q3</t>
        </is>
      </c>
      <c r="E39" t="inlineStr">
        <is>
          <t>Sep</t>
        </is>
      </c>
      <c r="F39" t="inlineStr">
        <is>
          <t>West</t>
        </is>
      </c>
      <c r="G39" t="inlineStr">
        <is>
          <t>Mid-Market</t>
        </is>
      </c>
      <c r="H39" t="inlineStr">
        <is>
          <t>Direct</t>
        </is>
      </c>
      <c r="I39" t="inlineStr">
        <is>
          <t>Add-ons</t>
        </is>
      </c>
      <c r="J39" t="inlineStr">
        <is>
          <t>Support Plus</t>
        </is>
      </c>
      <c r="K39" t="inlineStr">
        <is>
          <t>A. Rao</t>
        </is>
      </c>
      <c r="L39" t="n">
        <v>4</v>
      </c>
      <c r="M39" s="3" t="n">
        <v>503.06</v>
      </c>
      <c r="N39" s="3">
        <f>L39*M39</f>
        <v/>
      </c>
      <c r="O39" s="3">
        <f>N39*0.35</f>
        <v/>
      </c>
      <c r="P39" s="3">
        <f>N39-O39</f>
        <v/>
      </c>
      <c r="Q39" s="4">
        <f>IF(N39=0,0,P39/N39)</f>
        <v/>
      </c>
    </row>
    <row r="40">
      <c r="A40" t="inlineStr">
        <is>
          <t>ORD-1038</t>
        </is>
      </c>
      <c r="B40" s="2" t="n">
        <v>45358</v>
      </c>
      <c r="C40" t="n">
        <v>2024</v>
      </c>
      <c r="D40" t="inlineStr">
        <is>
          <t>Q1</t>
        </is>
      </c>
      <c r="E40" t="inlineStr">
        <is>
          <t>Mar</t>
        </is>
      </c>
      <c r="F40" t="inlineStr">
        <is>
          <t>West</t>
        </is>
      </c>
      <c r="G40" t="inlineStr">
        <is>
          <t>Enterprise</t>
        </is>
      </c>
      <c r="H40" t="inlineStr">
        <is>
          <t>Direct</t>
        </is>
      </c>
      <c r="I40" t="inlineStr">
        <is>
          <t>Services</t>
        </is>
      </c>
      <c r="J40" t="inlineStr">
        <is>
          <t>Training</t>
        </is>
      </c>
      <c r="K40" t="inlineStr">
        <is>
          <t>A. Rao</t>
        </is>
      </c>
      <c r="L40" t="n">
        <v>11</v>
      </c>
      <c r="M40" s="3" t="n">
        <v>1930.71</v>
      </c>
      <c r="N40" s="3">
        <f>L40*M40</f>
        <v/>
      </c>
      <c r="O40" s="3">
        <f>N40*0.427</f>
        <v/>
      </c>
      <c r="P40" s="3">
        <f>N40-O40</f>
        <v/>
      </c>
      <c r="Q40" s="4">
        <f>IF(N40=0,0,P40/N40)</f>
        <v/>
      </c>
    </row>
    <row r="41">
      <c r="A41" t="inlineStr">
        <is>
          <t>ORD-1039</t>
        </is>
      </c>
      <c r="B41" s="2" t="n">
        <v>45645</v>
      </c>
      <c r="C41" t="n">
        <v>2024</v>
      </c>
      <c r="D41" t="inlineStr">
        <is>
          <t>Q4</t>
        </is>
      </c>
      <c r="E41" t="inlineStr">
        <is>
          <t>Dec</t>
        </is>
      </c>
      <c r="F41" t="inlineStr">
        <is>
          <t>South</t>
        </is>
      </c>
      <c r="G41" t="inlineStr">
        <is>
          <t>Mid-Market</t>
        </is>
      </c>
      <c r="H41" t="inlineStr">
        <is>
          <t>Direct</t>
        </is>
      </c>
      <c r="I41" t="inlineStr">
        <is>
          <t>Subscriptions</t>
        </is>
      </c>
      <c r="J41" t="inlineStr">
        <is>
          <t>Enterprise</t>
        </is>
      </c>
      <c r="K41" t="inlineStr">
        <is>
          <t>A. Rao</t>
        </is>
      </c>
      <c r="L41" t="n">
        <v>3</v>
      </c>
      <c r="M41" s="3" t="n">
        <v>2136.11</v>
      </c>
      <c r="N41" s="3">
        <f>L41*M41</f>
        <v/>
      </c>
      <c r="O41" s="3">
        <f>N41*0.358</f>
        <v/>
      </c>
      <c r="P41" s="3">
        <f>N41-O41</f>
        <v/>
      </c>
      <c r="Q41" s="4">
        <f>IF(N41=0,0,P41/N41)</f>
        <v/>
      </c>
    </row>
    <row r="42">
      <c r="A42" t="inlineStr">
        <is>
          <t>ORD-1040</t>
        </is>
      </c>
      <c r="B42" s="2" t="n">
        <v>45312</v>
      </c>
      <c r="C42" t="n">
        <v>2024</v>
      </c>
      <c r="D42" t="inlineStr">
        <is>
          <t>Q1</t>
        </is>
      </c>
      <c r="E42" t="inlineStr">
        <is>
          <t>Jan</t>
        </is>
      </c>
      <c r="F42" t="inlineStr">
        <is>
          <t>North</t>
        </is>
      </c>
      <c r="G42" t="inlineStr">
        <is>
          <t>Mid-Market</t>
        </is>
      </c>
      <c r="H42" t="inlineStr">
        <is>
          <t>Self-serve</t>
        </is>
      </c>
      <c r="I42" t="inlineStr">
        <is>
          <t>Add-ons</t>
        </is>
      </c>
      <c r="J42" t="inlineStr">
        <is>
          <t>Analytics</t>
        </is>
      </c>
      <c r="K42" t="inlineStr">
        <is>
          <t>D. Iyer</t>
        </is>
      </c>
      <c r="L42" t="n">
        <v>44</v>
      </c>
      <c r="M42" s="3" t="n">
        <v>848.97</v>
      </c>
      <c r="N42" s="3">
        <f>L42*M42</f>
        <v/>
      </c>
      <c r="O42" s="3">
        <f>N42*0.158</f>
        <v/>
      </c>
      <c r="P42" s="3">
        <f>N42-O42</f>
        <v/>
      </c>
      <c r="Q42" s="4">
        <f>IF(N42=0,0,P42/N42)</f>
        <v/>
      </c>
    </row>
    <row r="43">
      <c r="A43" t="inlineStr">
        <is>
          <t>ORD-1041</t>
        </is>
      </c>
      <c r="B43" s="2" t="n">
        <v>45371</v>
      </c>
      <c r="C43" t="n">
        <v>2024</v>
      </c>
      <c r="D43" t="inlineStr">
        <is>
          <t>Q1</t>
        </is>
      </c>
      <c r="E43" t="inlineStr">
        <is>
          <t>Mar</t>
        </is>
      </c>
      <c r="F43" t="inlineStr">
        <is>
          <t>North</t>
        </is>
      </c>
      <c r="G43" t="inlineStr">
        <is>
          <t>SMB</t>
        </is>
      </c>
      <c r="H43" t="inlineStr">
        <is>
          <t>Self-serve</t>
        </is>
      </c>
      <c r="I43" t="inlineStr">
        <is>
          <t>Subscriptions</t>
        </is>
      </c>
      <c r="J43" t="inlineStr">
        <is>
          <t>Starter</t>
        </is>
      </c>
      <c r="K43" t="inlineStr">
        <is>
          <t>C. Mehta</t>
        </is>
      </c>
      <c r="L43" t="n">
        <v>12</v>
      </c>
      <c r="M43" s="3" t="n">
        <v>2239.12</v>
      </c>
      <c r="N43" s="3">
        <f>L43*M43</f>
        <v/>
      </c>
      <c r="O43" s="3">
        <f>N43*0.215</f>
        <v/>
      </c>
      <c r="P43" s="3">
        <f>N43-O43</f>
        <v/>
      </c>
      <c r="Q43" s="4">
        <f>IF(N43=0,0,P43/N43)</f>
        <v/>
      </c>
    </row>
    <row r="44">
      <c r="A44" t="inlineStr">
        <is>
          <t>ORD-1042</t>
        </is>
      </c>
      <c r="B44" s="2" t="n">
        <v>45502</v>
      </c>
      <c r="C44" t="n">
        <v>2024</v>
      </c>
      <c r="D44" t="inlineStr">
        <is>
          <t>Q3</t>
        </is>
      </c>
      <c r="E44" t="inlineStr">
        <is>
          <t>Jul</t>
        </is>
      </c>
      <c r="F44" t="inlineStr">
        <is>
          <t>North</t>
        </is>
      </c>
      <c r="G44" t="inlineStr">
        <is>
          <t>Mid-Market</t>
        </is>
      </c>
      <c r="H44" t="inlineStr">
        <is>
          <t>Direct</t>
        </is>
      </c>
      <c r="I44" t="inlineStr">
        <is>
          <t>Services</t>
        </is>
      </c>
      <c r="J44" t="inlineStr">
        <is>
          <t>Onboarding</t>
        </is>
      </c>
      <c r="K44" t="inlineStr">
        <is>
          <t>D. Iyer</t>
        </is>
      </c>
      <c r="L44" t="n">
        <v>18</v>
      </c>
      <c r="M44" s="3" t="n">
        <v>650.24</v>
      </c>
      <c r="N44" s="3">
        <f>L44*M44</f>
        <v/>
      </c>
      <c r="O44" s="3">
        <f>N44*0.383</f>
        <v/>
      </c>
      <c r="P44" s="3">
        <f>N44-O44</f>
        <v/>
      </c>
      <c r="Q44" s="4">
        <f>IF(N44=0,0,P44/N44)</f>
        <v/>
      </c>
    </row>
    <row r="45">
      <c r="A45" t="inlineStr">
        <is>
          <t>ORD-1043</t>
        </is>
      </c>
      <c r="B45" s="2" t="n">
        <v>45527</v>
      </c>
      <c r="C45" t="n">
        <v>2024</v>
      </c>
      <c r="D45" t="inlineStr">
        <is>
          <t>Q3</t>
        </is>
      </c>
      <c r="E45" t="inlineStr">
        <is>
          <t>Aug</t>
        </is>
      </c>
      <c r="F45" t="inlineStr">
        <is>
          <t>South</t>
        </is>
      </c>
      <c r="G45" t="inlineStr">
        <is>
          <t>Mid-Market</t>
        </is>
      </c>
      <c r="H45" t="inlineStr">
        <is>
          <t>Partner</t>
        </is>
      </c>
      <c r="I45" t="inlineStr">
        <is>
          <t>Add-ons</t>
        </is>
      </c>
      <c r="J45" t="inlineStr">
        <is>
          <t>Support Plus</t>
        </is>
      </c>
      <c r="K45" t="inlineStr">
        <is>
          <t>C. Mehta</t>
        </is>
      </c>
      <c r="L45" t="n">
        <v>15</v>
      </c>
      <c r="M45" s="3" t="n">
        <v>790.4299999999999</v>
      </c>
      <c r="N45" s="3">
        <f>L45*M45</f>
        <v/>
      </c>
      <c r="O45" s="3">
        <f>N45*0.191</f>
        <v/>
      </c>
      <c r="P45" s="3">
        <f>N45-O45</f>
        <v/>
      </c>
      <c r="Q45" s="4">
        <f>IF(N45=0,0,P45/N45)</f>
        <v/>
      </c>
    </row>
    <row r="46">
      <c r="A46" t="inlineStr">
        <is>
          <t>ORD-1044</t>
        </is>
      </c>
      <c r="B46" s="2" t="n">
        <v>45434</v>
      </c>
      <c r="C46" t="n">
        <v>2024</v>
      </c>
      <c r="D46" t="inlineStr">
        <is>
          <t>Q2</t>
        </is>
      </c>
      <c r="E46" t="inlineStr">
        <is>
          <t>May</t>
        </is>
      </c>
      <c r="F46" t="inlineStr">
        <is>
          <t>East</t>
        </is>
      </c>
      <c r="G46" t="inlineStr">
        <is>
          <t>SMB</t>
        </is>
      </c>
      <c r="H46" t="inlineStr">
        <is>
          <t>Direct</t>
        </is>
      </c>
      <c r="I46" t="inlineStr">
        <is>
          <t>Add-ons</t>
        </is>
      </c>
      <c r="J46" t="inlineStr">
        <is>
          <t>Extra Seats</t>
        </is>
      </c>
      <c r="K46" t="inlineStr">
        <is>
          <t>C. Mehta</t>
        </is>
      </c>
      <c r="L46" t="n">
        <v>33</v>
      </c>
      <c r="M46" s="3" t="n">
        <v>1179.29</v>
      </c>
      <c r="N46" s="3">
        <f>L46*M46</f>
        <v/>
      </c>
      <c r="O46" s="3">
        <f>N46*0.396</f>
        <v/>
      </c>
      <c r="P46" s="3">
        <f>N46-O46</f>
        <v/>
      </c>
      <c r="Q46" s="4">
        <f>IF(N46=0,0,P46/N46)</f>
        <v/>
      </c>
    </row>
    <row r="47">
      <c r="A47" t="inlineStr">
        <is>
          <t>ORD-1045</t>
        </is>
      </c>
      <c r="B47" s="2" t="n">
        <v>45427</v>
      </c>
      <c r="C47" t="n">
        <v>2024</v>
      </c>
      <c r="D47" t="inlineStr">
        <is>
          <t>Q2</t>
        </is>
      </c>
      <c r="E47" t="inlineStr">
        <is>
          <t>May</t>
        </is>
      </c>
      <c r="F47" t="inlineStr">
        <is>
          <t>East</t>
        </is>
      </c>
      <c r="G47" t="inlineStr">
        <is>
          <t>Mid-Market</t>
        </is>
      </c>
      <c r="H47" t="inlineStr">
        <is>
          <t>Self-serve</t>
        </is>
      </c>
      <c r="I47" t="inlineStr">
        <is>
          <t>Subscriptions</t>
        </is>
      </c>
      <c r="J47" t="inlineStr">
        <is>
          <t>Starter</t>
        </is>
      </c>
      <c r="K47" t="inlineStr">
        <is>
          <t>E. Nair</t>
        </is>
      </c>
      <c r="L47" t="n">
        <v>39</v>
      </c>
      <c r="M47" s="3" t="n">
        <v>1256.04</v>
      </c>
      <c r="N47" s="3">
        <f>L47*M47</f>
        <v/>
      </c>
      <c r="O47" s="3">
        <f>N47*0.415</f>
        <v/>
      </c>
      <c r="P47" s="3">
        <f>N47-O47</f>
        <v/>
      </c>
      <c r="Q47" s="4">
        <f>IF(N47=0,0,P47/N47)</f>
        <v/>
      </c>
    </row>
    <row r="48">
      <c r="A48" t="inlineStr">
        <is>
          <t>ORD-1046</t>
        </is>
      </c>
      <c r="B48" s="2" t="n">
        <v>45587</v>
      </c>
      <c r="C48" t="n">
        <v>2024</v>
      </c>
      <c r="D48" t="inlineStr">
        <is>
          <t>Q4</t>
        </is>
      </c>
      <c r="E48" t="inlineStr">
        <is>
          <t>Oct</t>
        </is>
      </c>
      <c r="F48" t="inlineStr">
        <is>
          <t>North</t>
        </is>
      </c>
      <c r="G48" t="inlineStr">
        <is>
          <t>Enterprise</t>
        </is>
      </c>
      <c r="H48" t="inlineStr">
        <is>
          <t>Self-serve</t>
        </is>
      </c>
      <c r="I48" t="inlineStr">
        <is>
          <t>Subscriptions</t>
        </is>
      </c>
      <c r="J48" t="inlineStr">
        <is>
          <t>Pro</t>
        </is>
      </c>
      <c r="K48" t="inlineStr">
        <is>
          <t>F. Shah</t>
        </is>
      </c>
      <c r="L48" t="n">
        <v>3</v>
      </c>
      <c r="M48" s="3" t="n">
        <v>1859.33</v>
      </c>
      <c r="N48" s="3">
        <f>L48*M48</f>
        <v/>
      </c>
      <c r="O48" s="3">
        <f>N48*0.234</f>
        <v/>
      </c>
      <c r="P48" s="3">
        <f>N48-O48</f>
        <v/>
      </c>
      <c r="Q48" s="4">
        <f>IF(N48=0,0,P48/N48)</f>
        <v/>
      </c>
    </row>
    <row r="49">
      <c r="A49" t="inlineStr">
        <is>
          <t>ORD-1047</t>
        </is>
      </c>
      <c r="B49" s="2" t="n">
        <v>45635</v>
      </c>
      <c r="C49" t="n">
        <v>2024</v>
      </c>
      <c r="D49" t="inlineStr">
        <is>
          <t>Q4</t>
        </is>
      </c>
      <c r="E49" t="inlineStr">
        <is>
          <t>Dec</t>
        </is>
      </c>
      <c r="F49" t="inlineStr">
        <is>
          <t>East</t>
        </is>
      </c>
      <c r="G49" t="inlineStr">
        <is>
          <t>Enterprise</t>
        </is>
      </c>
      <c r="H49" t="inlineStr">
        <is>
          <t>Partner</t>
        </is>
      </c>
      <c r="I49" t="inlineStr">
        <is>
          <t>Subscriptions</t>
        </is>
      </c>
      <c r="J49" t="inlineStr">
        <is>
          <t>Pro</t>
        </is>
      </c>
      <c r="K49" t="inlineStr">
        <is>
          <t>F. Shah</t>
        </is>
      </c>
      <c r="L49" t="n">
        <v>28</v>
      </c>
      <c r="M49" s="3" t="n">
        <v>453.94</v>
      </c>
      <c r="N49" s="3">
        <f>L49*M49</f>
        <v/>
      </c>
      <c r="O49" s="3">
        <f>N49*0.196</f>
        <v/>
      </c>
      <c r="P49" s="3">
        <f>N49-O49</f>
        <v/>
      </c>
      <c r="Q49" s="4">
        <f>IF(N49=0,0,P49/N49)</f>
        <v/>
      </c>
    </row>
    <row r="50">
      <c r="A50" t="inlineStr">
        <is>
          <t>ORD-1048</t>
        </is>
      </c>
      <c r="B50" s="2" t="n">
        <v>45445</v>
      </c>
      <c r="C50" t="n">
        <v>2024</v>
      </c>
      <c r="D50" t="inlineStr">
        <is>
          <t>Q2</t>
        </is>
      </c>
      <c r="E50" t="inlineStr">
        <is>
          <t>Jun</t>
        </is>
      </c>
      <c r="F50" t="inlineStr">
        <is>
          <t>West</t>
        </is>
      </c>
      <c r="G50" t="inlineStr">
        <is>
          <t>Enterprise</t>
        </is>
      </c>
      <c r="H50" t="inlineStr">
        <is>
          <t>Partner</t>
        </is>
      </c>
      <c r="I50" t="inlineStr">
        <is>
          <t>Services</t>
        </is>
      </c>
      <c r="J50" t="inlineStr">
        <is>
          <t>Training</t>
        </is>
      </c>
      <c r="K50" t="inlineStr">
        <is>
          <t>E. Nair</t>
        </is>
      </c>
      <c r="L50" t="n">
        <v>43</v>
      </c>
      <c r="M50" s="3" t="n">
        <v>1198.46</v>
      </c>
      <c r="N50" s="3">
        <f>L50*M50</f>
        <v/>
      </c>
      <c r="O50" s="3">
        <f>N50*0.412</f>
        <v/>
      </c>
      <c r="P50" s="3">
        <f>N50-O50</f>
        <v/>
      </c>
      <c r="Q50" s="4">
        <f>IF(N50=0,0,P50/N50)</f>
        <v/>
      </c>
    </row>
    <row r="51">
      <c r="A51" t="inlineStr">
        <is>
          <t>ORD-1049</t>
        </is>
      </c>
      <c r="B51" s="2" t="n">
        <v>45507</v>
      </c>
      <c r="C51" t="n">
        <v>2024</v>
      </c>
      <c r="D51" t="inlineStr">
        <is>
          <t>Q3</t>
        </is>
      </c>
      <c r="E51" t="inlineStr">
        <is>
          <t>Aug</t>
        </is>
      </c>
      <c r="F51" t="inlineStr">
        <is>
          <t>South</t>
        </is>
      </c>
      <c r="G51" t="inlineStr">
        <is>
          <t>Enterprise</t>
        </is>
      </c>
      <c r="H51" t="inlineStr">
        <is>
          <t>Self-serve</t>
        </is>
      </c>
      <c r="I51" t="inlineStr">
        <is>
          <t>Services</t>
        </is>
      </c>
      <c r="J51" t="inlineStr">
        <is>
          <t>Training</t>
        </is>
      </c>
      <c r="K51" t="inlineStr">
        <is>
          <t>C. Mehta</t>
        </is>
      </c>
      <c r="L51" t="n">
        <v>44</v>
      </c>
      <c r="M51" s="3" t="n">
        <v>1945.9</v>
      </c>
      <c r="N51" s="3">
        <f>L51*M51</f>
        <v/>
      </c>
      <c r="O51" s="3">
        <f>N51*0.328</f>
        <v/>
      </c>
      <c r="P51" s="3">
        <f>N51-O51</f>
        <v/>
      </c>
      <c r="Q51" s="4">
        <f>IF(N51=0,0,P51/N51)</f>
        <v/>
      </c>
    </row>
    <row r="52">
      <c r="A52" t="inlineStr">
        <is>
          <t>ORD-1050</t>
        </is>
      </c>
      <c r="B52" s="2" t="n">
        <v>45292</v>
      </c>
      <c r="C52" t="n">
        <v>2024</v>
      </c>
      <c r="D52" t="inlineStr">
        <is>
          <t>Q1</t>
        </is>
      </c>
      <c r="E52" t="inlineStr">
        <is>
          <t>Jan</t>
        </is>
      </c>
      <c r="F52" t="inlineStr">
        <is>
          <t>East</t>
        </is>
      </c>
      <c r="G52" t="inlineStr">
        <is>
          <t>Mid-Market</t>
        </is>
      </c>
      <c r="H52" t="inlineStr">
        <is>
          <t>Partner</t>
        </is>
      </c>
      <c r="I52" t="inlineStr">
        <is>
          <t>Add-ons</t>
        </is>
      </c>
      <c r="J52" t="inlineStr">
        <is>
          <t>Support Plus</t>
        </is>
      </c>
      <c r="K52" t="inlineStr">
        <is>
          <t>D. Iyer</t>
        </is>
      </c>
      <c r="L52" t="n">
        <v>14</v>
      </c>
      <c r="M52" s="3" t="n">
        <v>1245.75</v>
      </c>
      <c r="N52" s="3">
        <f>L52*M52</f>
        <v/>
      </c>
      <c r="O52" s="3">
        <f>N52*0.247</f>
        <v/>
      </c>
      <c r="P52" s="3">
        <f>N52-O52</f>
        <v/>
      </c>
      <c r="Q52" s="4">
        <f>IF(N52=0,0,P52/N52)</f>
        <v/>
      </c>
    </row>
    <row r="53">
      <c r="A53" t="inlineStr">
        <is>
          <t>ORD-1051</t>
        </is>
      </c>
      <c r="B53" s="2" t="n">
        <v>45553</v>
      </c>
      <c r="C53" t="n">
        <v>2024</v>
      </c>
      <c r="D53" t="inlineStr">
        <is>
          <t>Q3</t>
        </is>
      </c>
      <c r="E53" t="inlineStr">
        <is>
          <t>Sep</t>
        </is>
      </c>
      <c r="F53" t="inlineStr">
        <is>
          <t>East</t>
        </is>
      </c>
      <c r="G53" t="inlineStr">
        <is>
          <t>Enterprise</t>
        </is>
      </c>
      <c r="H53" t="inlineStr">
        <is>
          <t>Self-serve</t>
        </is>
      </c>
      <c r="I53" t="inlineStr">
        <is>
          <t>Add-ons</t>
        </is>
      </c>
      <c r="J53" t="inlineStr">
        <is>
          <t>Extra Seats</t>
        </is>
      </c>
      <c r="K53" t="inlineStr">
        <is>
          <t>F. Shah</t>
        </is>
      </c>
      <c r="L53" t="n">
        <v>11</v>
      </c>
      <c r="M53" s="3" t="n">
        <v>1749.47</v>
      </c>
      <c r="N53" s="3">
        <f>L53*M53</f>
        <v/>
      </c>
      <c r="O53" s="3">
        <f>N53*0.264</f>
        <v/>
      </c>
      <c r="P53" s="3">
        <f>N53-O53</f>
        <v/>
      </c>
      <c r="Q53" s="4">
        <f>IF(N53=0,0,P53/N53)</f>
        <v/>
      </c>
    </row>
    <row r="54">
      <c r="A54" t="inlineStr">
        <is>
          <t>ORD-1052</t>
        </is>
      </c>
      <c r="B54" s="2" t="n">
        <v>45339</v>
      </c>
      <c r="C54" t="n">
        <v>2024</v>
      </c>
      <c r="D54" t="inlineStr">
        <is>
          <t>Q1</t>
        </is>
      </c>
      <c r="E54" t="inlineStr">
        <is>
          <t>Feb</t>
        </is>
      </c>
      <c r="F54" t="inlineStr">
        <is>
          <t>South</t>
        </is>
      </c>
      <c r="G54" t="inlineStr">
        <is>
          <t>SMB</t>
        </is>
      </c>
      <c r="H54" t="inlineStr">
        <is>
          <t>Direct</t>
        </is>
      </c>
      <c r="I54" t="inlineStr">
        <is>
          <t>Subscriptions</t>
        </is>
      </c>
      <c r="J54" t="inlineStr">
        <is>
          <t>Enterprise</t>
        </is>
      </c>
      <c r="K54" t="inlineStr">
        <is>
          <t>A. Rao</t>
        </is>
      </c>
      <c r="L54" t="n">
        <v>20</v>
      </c>
      <c r="M54" s="3" t="n">
        <v>794.21</v>
      </c>
      <c r="N54" s="3">
        <f>L54*M54</f>
        <v/>
      </c>
      <c r="O54" s="3">
        <f>N54*0.377</f>
        <v/>
      </c>
      <c r="P54" s="3">
        <f>N54-O54</f>
        <v/>
      </c>
      <c r="Q54" s="4">
        <f>IF(N54=0,0,P54/N54)</f>
        <v/>
      </c>
    </row>
    <row r="55">
      <c r="A55" t="inlineStr">
        <is>
          <t>ORD-1053</t>
        </is>
      </c>
      <c r="B55" s="2" t="n">
        <v>45535</v>
      </c>
      <c r="C55" t="n">
        <v>2024</v>
      </c>
      <c r="D55" t="inlineStr">
        <is>
          <t>Q3</t>
        </is>
      </c>
      <c r="E55" t="inlineStr">
        <is>
          <t>Aug</t>
        </is>
      </c>
      <c r="F55" t="inlineStr">
        <is>
          <t>South</t>
        </is>
      </c>
      <c r="G55" t="inlineStr">
        <is>
          <t>Enterprise</t>
        </is>
      </c>
      <c r="H55" t="inlineStr">
        <is>
          <t>Self-serve</t>
        </is>
      </c>
      <c r="I55" t="inlineStr">
        <is>
          <t>Services</t>
        </is>
      </c>
      <c r="J55" t="inlineStr">
        <is>
          <t>Onboarding</t>
        </is>
      </c>
      <c r="K55" t="inlineStr">
        <is>
          <t>D. Iyer</t>
        </is>
      </c>
      <c r="L55" t="n">
        <v>30</v>
      </c>
      <c r="M55" s="3" t="n">
        <v>1211.77</v>
      </c>
      <c r="N55" s="3">
        <f>L55*M55</f>
        <v/>
      </c>
      <c r="O55" s="3">
        <f>N55*0.302</f>
        <v/>
      </c>
      <c r="P55" s="3">
        <f>N55-O55</f>
        <v/>
      </c>
      <c r="Q55" s="4">
        <f>IF(N55=0,0,P55/N55)</f>
        <v/>
      </c>
    </row>
    <row r="56">
      <c r="A56" t="inlineStr">
        <is>
          <t>ORD-1054</t>
        </is>
      </c>
      <c r="B56" s="2" t="n">
        <v>45416</v>
      </c>
      <c r="C56" t="n">
        <v>2024</v>
      </c>
      <c r="D56" t="inlineStr">
        <is>
          <t>Q2</t>
        </is>
      </c>
      <c r="E56" t="inlineStr">
        <is>
          <t>May</t>
        </is>
      </c>
      <c r="F56" t="inlineStr">
        <is>
          <t>North</t>
        </is>
      </c>
      <c r="G56" t="inlineStr">
        <is>
          <t>Mid-Market</t>
        </is>
      </c>
      <c r="H56" t="inlineStr">
        <is>
          <t>Direct</t>
        </is>
      </c>
      <c r="I56" t="inlineStr">
        <is>
          <t>Subscriptions</t>
        </is>
      </c>
      <c r="J56" t="inlineStr">
        <is>
          <t>Enterprise</t>
        </is>
      </c>
      <c r="K56" t="inlineStr">
        <is>
          <t>B. Khan</t>
        </is>
      </c>
      <c r="L56" t="n">
        <v>45</v>
      </c>
      <c r="M56" s="3" t="n">
        <v>312.2</v>
      </c>
      <c r="N56" s="3">
        <f>L56*M56</f>
        <v/>
      </c>
      <c r="O56" s="3">
        <f>N56*0.209</f>
        <v/>
      </c>
      <c r="P56" s="3">
        <f>N56-O56</f>
        <v/>
      </c>
      <c r="Q56" s="4">
        <f>IF(N56=0,0,P56/N56)</f>
        <v/>
      </c>
    </row>
    <row r="57">
      <c r="A57" t="inlineStr">
        <is>
          <t>ORD-1055</t>
        </is>
      </c>
      <c r="B57" s="2" t="n">
        <v>45648</v>
      </c>
      <c r="C57" t="n">
        <v>2024</v>
      </c>
      <c r="D57" t="inlineStr">
        <is>
          <t>Q4</t>
        </is>
      </c>
      <c r="E57" t="inlineStr">
        <is>
          <t>Dec</t>
        </is>
      </c>
      <c r="F57" t="inlineStr">
        <is>
          <t>North</t>
        </is>
      </c>
      <c r="G57" t="inlineStr">
        <is>
          <t>Mid-Market</t>
        </is>
      </c>
      <c r="H57" t="inlineStr">
        <is>
          <t>Direct</t>
        </is>
      </c>
      <c r="I57" t="inlineStr">
        <is>
          <t>Services</t>
        </is>
      </c>
      <c r="J57" t="inlineStr">
        <is>
          <t>Training</t>
        </is>
      </c>
      <c r="K57" t="inlineStr">
        <is>
          <t>D. Iyer</t>
        </is>
      </c>
      <c r="L57" t="n">
        <v>4</v>
      </c>
      <c r="M57" s="3" t="n">
        <v>1526.29</v>
      </c>
      <c r="N57" s="3">
        <f>L57*M57</f>
        <v/>
      </c>
      <c r="O57" s="3">
        <f>N57*0.25</f>
        <v/>
      </c>
      <c r="P57" s="3">
        <f>N57-O57</f>
        <v/>
      </c>
      <c r="Q57" s="4">
        <f>IF(N57=0,0,P57/N57)</f>
        <v/>
      </c>
    </row>
    <row r="58">
      <c r="A58" t="inlineStr">
        <is>
          <t>ORD-1056</t>
        </is>
      </c>
      <c r="B58" s="2" t="n">
        <v>45578</v>
      </c>
      <c r="C58" t="n">
        <v>2024</v>
      </c>
      <c r="D58" t="inlineStr">
        <is>
          <t>Q4</t>
        </is>
      </c>
      <c r="E58" t="inlineStr">
        <is>
          <t>Oct</t>
        </is>
      </c>
      <c r="F58" t="inlineStr">
        <is>
          <t>West</t>
        </is>
      </c>
      <c r="G58" t="inlineStr">
        <is>
          <t>Enterprise</t>
        </is>
      </c>
      <c r="H58" t="inlineStr">
        <is>
          <t>Partner</t>
        </is>
      </c>
      <c r="I58" t="inlineStr">
        <is>
          <t>Services</t>
        </is>
      </c>
      <c r="J58" t="inlineStr">
        <is>
          <t>Training</t>
        </is>
      </c>
      <c r="K58" t="inlineStr">
        <is>
          <t>B. Khan</t>
        </is>
      </c>
      <c r="L58" t="n">
        <v>49</v>
      </c>
      <c r="M58" s="3" t="n">
        <v>2261.14</v>
      </c>
      <c r="N58" s="3">
        <f>L58*M58</f>
        <v/>
      </c>
      <c r="O58" s="3">
        <f>N58*0.227</f>
        <v/>
      </c>
      <c r="P58" s="3">
        <f>N58-O58</f>
        <v/>
      </c>
      <c r="Q58" s="4">
        <f>IF(N58=0,0,P58/N58)</f>
        <v/>
      </c>
    </row>
    <row r="59">
      <c r="A59" t="inlineStr">
        <is>
          <t>ORD-1057</t>
        </is>
      </c>
      <c r="B59" s="2" t="n">
        <v>45535</v>
      </c>
      <c r="C59" t="n">
        <v>2024</v>
      </c>
      <c r="D59" t="inlineStr">
        <is>
          <t>Q3</t>
        </is>
      </c>
      <c r="E59" t="inlineStr">
        <is>
          <t>Aug</t>
        </is>
      </c>
      <c r="F59" t="inlineStr">
        <is>
          <t>East</t>
        </is>
      </c>
      <c r="G59" t="inlineStr">
        <is>
          <t>Enterprise</t>
        </is>
      </c>
      <c r="H59" t="inlineStr">
        <is>
          <t>Partner</t>
        </is>
      </c>
      <c r="I59" t="inlineStr">
        <is>
          <t>Add-ons</t>
        </is>
      </c>
      <c r="J59" t="inlineStr">
        <is>
          <t>Support Plus</t>
        </is>
      </c>
      <c r="K59" t="inlineStr">
        <is>
          <t>F. Shah</t>
        </is>
      </c>
      <c r="L59" t="n">
        <v>49</v>
      </c>
      <c r="M59" s="3" t="n">
        <v>843.9299999999999</v>
      </c>
      <c r="N59" s="3">
        <f>L59*M59</f>
        <v/>
      </c>
      <c r="O59" s="3">
        <f>N59*0.378</f>
        <v/>
      </c>
      <c r="P59" s="3">
        <f>N59-O59</f>
        <v/>
      </c>
      <c r="Q59" s="4">
        <f>IF(N59=0,0,P59/N59)</f>
        <v/>
      </c>
    </row>
    <row r="60">
      <c r="A60" t="inlineStr">
        <is>
          <t>ORD-1058</t>
        </is>
      </c>
      <c r="B60" s="2" t="n">
        <v>45517</v>
      </c>
      <c r="C60" t="n">
        <v>2024</v>
      </c>
      <c r="D60" t="inlineStr">
        <is>
          <t>Q3</t>
        </is>
      </c>
      <c r="E60" t="inlineStr">
        <is>
          <t>Aug</t>
        </is>
      </c>
      <c r="F60" t="inlineStr">
        <is>
          <t>East</t>
        </is>
      </c>
      <c r="G60" t="inlineStr">
        <is>
          <t>Mid-Market</t>
        </is>
      </c>
      <c r="H60" t="inlineStr">
        <is>
          <t>Self-serve</t>
        </is>
      </c>
      <c r="I60" t="inlineStr">
        <is>
          <t>Subscriptions</t>
        </is>
      </c>
      <c r="J60" t="inlineStr">
        <is>
          <t>Enterprise</t>
        </is>
      </c>
      <c r="K60" t="inlineStr">
        <is>
          <t>A. Rao</t>
        </is>
      </c>
      <c r="L60" t="n">
        <v>19</v>
      </c>
      <c r="M60" s="3" t="n">
        <v>815.89</v>
      </c>
      <c r="N60" s="3">
        <f>L60*M60</f>
        <v/>
      </c>
      <c r="O60" s="3">
        <f>N60*0.408</f>
        <v/>
      </c>
      <c r="P60" s="3">
        <f>N60-O60</f>
        <v/>
      </c>
      <c r="Q60" s="4">
        <f>IF(N60=0,0,P60/N60)</f>
        <v/>
      </c>
    </row>
    <row r="61">
      <c r="A61" t="inlineStr">
        <is>
          <t>ORD-1059</t>
        </is>
      </c>
      <c r="B61" s="2" t="n">
        <v>45410</v>
      </c>
      <c r="C61" t="n">
        <v>2024</v>
      </c>
      <c r="D61" t="inlineStr">
        <is>
          <t>Q2</t>
        </is>
      </c>
      <c r="E61" t="inlineStr">
        <is>
          <t>Apr</t>
        </is>
      </c>
      <c r="F61" t="inlineStr">
        <is>
          <t>North</t>
        </is>
      </c>
      <c r="G61" t="inlineStr">
        <is>
          <t>Mid-Market</t>
        </is>
      </c>
      <c r="H61" t="inlineStr">
        <is>
          <t>Partner</t>
        </is>
      </c>
      <c r="I61" t="inlineStr">
        <is>
          <t>Add-ons</t>
        </is>
      </c>
      <c r="J61" t="inlineStr">
        <is>
          <t>Extra Seats</t>
        </is>
      </c>
      <c r="K61" t="inlineStr">
        <is>
          <t>C. Mehta</t>
        </is>
      </c>
      <c r="L61" t="n">
        <v>10</v>
      </c>
      <c r="M61" s="3" t="n">
        <v>1854.12</v>
      </c>
      <c r="N61" s="3">
        <f>L61*M61</f>
        <v/>
      </c>
      <c r="O61" s="3">
        <f>N61*0.287</f>
        <v/>
      </c>
      <c r="P61" s="3">
        <f>N61-O61</f>
        <v/>
      </c>
      <c r="Q61" s="4">
        <f>IF(N61=0,0,P61/N61)</f>
        <v/>
      </c>
    </row>
    <row r="62">
      <c r="A62" t="inlineStr">
        <is>
          <t>ORD-1060</t>
        </is>
      </c>
      <c r="B62" s="2" t="n">
        <v>45504</v>
      </c>
      <c r="C62" t="n">
        <v>2024</v>
      </c>
      <c r="D62" t="inlineStr">
        <is>
          <t>Q3</t>
        </is>
      </c>
      <c r="E62" t="inlineStr">
        <is>
          <t>Jul</t>
        </is>
      </c>
      <c r="F62" t="inlineStr">
        <is>
          <t>North</t>
        </is>
      </c>
      <c r="G62" t="inlineStr">
        <is>
          <t>Enterprise</t>
        </is>
      </c>
      <c r="H62" t="inlineStr">
        <is>
          <t>Partner</t>
        </is>
      </c>
      <c r="I62" t="inlineStr">
        <is>
          <t>Subscriptions</t>
        </is>
      </c>
      <c r="J62" t="inlineStr">
        <is>
          <t>Starter</t>
        </is>
      </c>
      <c r="K62" t="inlineStr">
        <is>
          <t>D. Iyer</t>
        </is>
      </c>
      <c r="L62" t="n">
        <v>27</v>
      </c>
      <c r="M62" s="3" t="n">
        <v>1156.85</v>
      </c>
      <c r="N62" s="3">
        <f>L62*M62</f>
        <v/>
      </c>
      <c r="O62" s="3">
        <f>N62*0.448</f>
        <v/>
      </c>
      <c r="P62" s="3">
        <f>N62-O62</f>
        <v/>
      </c>
      <c r="Q62" s="4">
        <f>IF(N62=0,0,P62/N62)</f>
        <v/>
      </c>
    </row>
    <row r="63">
      <c r="A63" t="inlineStr">
        <is>
          <t>ORD-1061</t>
        </is>
      </c>
      <c r="B63" s="2" t="n">
        <v>45472</v>
      </c>
      <c r="C63" t="n">
        <v>2024</v>
      </c>
      <c r="D63" t="inlineStr">
        <is>
          <t>Q2</t>
        </is>
      </c>
      <c r="E63" t="inlineStr">
        <is>
          <t>Jun</t>
        </is>
      </c>
      <c r="F63" t="inlineStr">
        <is>
          <t>South</t>
        </is>
      </c>
      <c r="G63" t="inlineStr">
        <is>
          <t>Mid-Market</t>
        </is>
      </c>
      <c r="H63" t="inlineStr">
        <is>
          <t>Direct</t>
        </is>
      </c>
      <c r="I63" t="inlineStr">
        <is>
          <t>Add-ons</t>
        </is>
      </c>
      <c r="J63" t="inlineStr">
        <is>
          <t>Support Plus</t>
        </is>
      </c>
      <c r="K63" t="inlineStr">
        <is>
          <t>C. Mehta</t>
        </is>
      </c>
      <c r="L63" t="n">
        <v>27</v>
      </c>
      <c r="M63" s="3" t="n">
        <v>1484.09</v>
      </c>
      <c r="N63" s="3">
        <f>L63*M63</f>
        <v/>
      </c>
      <c r="O63" s="3">
        <f>N63*0.319</f>
        <v/>
      </c>
      <c r="P63" s="3">
        <f>N63-O63</f>
        <v/>
      </c>
      <c r="Q63" s="4">
        <f>IF(N63=0,0,P63/N63)</f>
        <v/>
      </c>
    </row>
    <row r="64">
      <c r="A64" t="inlineStr">
        <is>
          <t>ORD-1062</t>
        </is>
      </c>
      <c r="B64" s="2" t="n">
        <v>45306</v>
      </c>
      <c r="C64" t="n">
        <v>2024</v>
      </c>
      <c r="D64" t="inlineStr">
        <is>
          <t>Q1</t>
        </is>
      </c>
      <c r="E64" t="inlineStr">
        <is>
          <t>Jan</t>
        </is>
      </c>
      <c r="F64" t="inlineStr">
        <is>
          <t>West</t>
        </is>
      </c>
      <c r="G64" t="inlineStr">
        <is>
          <t>Enterprise</t>
        </is>
      </c>
      <c r="H64" t="inlineStr">
        <is>
          <t>Direct</t>
        </is>
      </c>
      <c r="I64" t="inlineStr">
        <is>
          <t>Add-ons</t>
        </is>
      </c>
      <c r="J64" t="inlineStr">
        <is>
          <t>Support Plus</t>
        </is>
      </c>
      <c r="K64" t="inlineStr">
        <is>
          <t>D. Iyer</t>
        </is>
      </c>
      <c r="L64" t="n">
        <v>43</v>
      </c>
      <c r="M64" s="3" t="n">
        <v>1794.11</v>
      </c>
      <c r="N64" s="3">
        <f>L64*M64</f>
        <v/>
      </c>
      <c r="O64" s="3">
        <f>N64*0.174</f>
        <v/>
      </c>
      <c r="P64" s="3">
        <f>N64-O64</f>
        <v/>
      </c>
      <c r="Q64" s="4">
        <f>IF(N64=0,0,P64/N64)</f>
        <v/>
      </c>
    </row>
    <row r="65">
      <c r="A65" t="inlineStr">
        <is>
          <t>ORD-1063</t>
        </is>
      </c>
      <c r="B65" s="2" t="n">
        <v>45610</v>
      </c>
      <c r="C65" t="n">
        <v>2024</v>
      </c>
      <c r="D65" t="inlineStr">
        <is>
          <t>Q4</t>
        </is>
      </c>
      <c r="E65" t="inlineStr">
        <is>
          <t>Nov</t>
        </is>
      </c>
      <c r="F65" t="inlineStr">
        <is>
          <t>North</t>
        </is>
      </c>
      <c r="G65" t="inlineStr">
        <is>
          <t>SMB</t>
        </is>
      </c>
      <c r="H65" t="inlineStr">
        <is>
          <t>Self-serve</t>
        </is>
      </c>
      <c r="I65" t="inlineStr">
        <is>
          <t>Services</t>
        </is>
      </c>
      <c r="J65" t="inlineStr">
        <is>
          <t>Onboarding</t>
        </is>
      </c>
      <c r="K65" t="inlineStr">
        <is>
          <t>D. Iyer</t>
        </is>
      </c>
      <c r="L65" t="n">
        <v>26</v>
      </c>
      <c r="M65" s="3" t="n">
        <v>1602.16</v>
      </c>
      <c r="N65" s="3">
        <f>L65*M65</f>
        <v/>
      </c>
      <c r="O65" s="3">
        <f>N65*0.409</f>
        <v/>
      </c>
      <c r="P65" s="3">
        <f>N65-O65</f>
        <v/>
      </c>
      <c r="Q65" s="4">
        <f>IF(N65=0,0,P65/N65)</f>
        <v/>
      </c>
    </row>
    <row r="66">
      <c r="A66" t="inlineStr">
        <is>
          <t>ORD-1064</t>
        </is>
      </c>
      <c r="B66" s="2" t="n">
        <v>45528</v>
      </c>
      <c r="C66" t="n">
        <v>2024</v>
      </c>
      <c r="D66" t="inlineStr">
        <is>
          <t>Q3</t>
        </is>
      </c>
      <c r="E66" t="inlineStr">
        <is>
          <t>Aug</t>
        </is>
      </c>
      <c r="F66" t="inlineStr">
        <is>
          <t>South</t>
        </is>
      </c>
      <c r="G66" t="inlineStr">
        <is>
          <t>Mid-Market</t>
        </is>
      </c>
      <c r="H66" t="inlineStr">
        <is>
          <t>Partner</t>
        </is>
      </c>
      <c r="I66" t="inlineStr">
        <is>
          <t>Subscriptions</t>
        </is>
      </c>
      <c r="J66" t="inlineStr">
        <is>
          <t>Starter</t>
        </is>
      </c>
      <c r="K66" t="inlineStr">
        <is>
          <t>C. Mehta</t>
        </is>
      </c>
      <c r="L66" t="n">
        <v>17</v>
      </c>
      <c r="M66" s="3" t="n">
        <v>1134.03</v>
      </c>
      <c r="N66" s="3">
        <f>L66*M66</f>
        <v/>
      </c>
      <c r="O66" s="3">
        <f>N66*0.222</f>
        <v/>
      </c>
      <c r="P66" s="3">
        <f>N66-O66</f>
        <v/>
      </c>
      <c r="Q66" s="4">
        <f>IF(N66=0,0,P66/N66)</f>
        <v/>
      </c>
    </row>
    <row r="67">
      <c r="A67" t="inlineStr">
        <is>
          <t>ORD-1065</t>
        </is>
      </c>
      <c r="B67" s="2" t="n">
        <v>45486</v>
      </c>
      <c r="C67" t="n">
        <v>2024</v>
      </c>
      <c r="D67" t="inlineStr">
        <is>
          <t>Q3</t>
        </is>
      </c>
      <c r="E67" t="inlineStr">
        <is>
          <t>Jul</t>
        </is>
      </c>
      <c r="F67" t="inlineStr">
        <is>
          <t>West</t>
        </is>
      </c>
      <c r="G67" t="inlineStr">
        <is>
          <t>SMB</t>
        </is>
      </c>
      <c r="H67" t="inlineStr">
        <is>
          <t>Self-serve</t>
        </is>
      </c>
      <c r="I67" t="inlineStr">
        <is>
          <t>Add-ons</t>
        </is>
      </c>
      <c r="J67" t="inlineStr">
        <is>
          <t>Support Plus</t>
        </is>
      </c>
      <c r="K67" t="inlineStr">
        <is>
          <t>E. Nair</t>
        </is>
      </c>
      <c r="L67" t="n">
        <v>17</v>
      </c>
      <c r="M67" s="3" t="n">
        <v>2136.8</v>
      </c>
      <c r="N67" s="3">
        <f>L67*M67</f>
        <v/>
      </c>
      <c r="O67" s="3">
        <f>N67*0.434</f>
        <v/>
      </c>
      <c r="P67" s="3">
        <f>N67-O67</f>
        <v/>
      </c>
      <c r="Q67" s="4">
        <f>IF(N67=0,0,P67/N67)</f>
        <v/>
      </c>
    </row>
    <row r="68">
      <c r="A68" t="inlineStr">
        <is>
          <t>ORD-1066</t>
        </is>
      </c>
      <c r="B68" s="2" t="n">
        <v>45471</v>
      </c>
      <c r="C68" t="n">
        <v>2024</v>
      </c>
      <c r="D68" t="inlineStr">
        <is>
          <t>Q2</t>
        </is>
      </c>
      <c r="E68" t="inlineStr">
        <is>
          <t>Jun</t>
        </is>
      </c>
      <c r="F68" t="inlineStr">
        <is>
          <t>North</t>
        </is>
      </c>
      <c r="G68" t="inlineStr">
        <is>
          <t>SMB</t>
        </is>
      </c>
      <c r="H68" t="inlineStr">
        <is>
          <t>Direct</t>
        </is>
      </c>
      <c r="I68" t="inlineStr">
        <is>
          <t>Subscriptions</t>
        </is>
      </c>
      <c r="J68" t="inlineStr">
        <is>
          <t>Enterprise</t>
        </is>
      </c>
      <c r="K68" t="inlineStr">
        <is>
          <t>B. Khan</t>
        </is>
      </c>
      <c r="L68" t="n">
        <v>5</v>
      </c>
      <c r="M68" s="3" t="n">
        <v>2018.71</v>
      </c>
      <c r="N68" s="3">
        <f>L68*M68</f>
        <v/>
      </c>
      <c r="O68" s="3">
        <f>N68*0.198</f>
        <v/>
      </c>
      <c r="P68" s="3">
        <f>N68-O68</f>
        <v/>
      </c>
      <c r="Q68" s="4">
        <f>IF(N68=0,0,P68/N68)</f>
        <v/>
      </c>
    </row>
    <row r="69">
      <c r="A69" t="inlineStr">
        <is>
          <t>ORD-1067</t>
        </is>
      </c>
      <c r="B69" s="2" t="n">
        <v>45610</v>
      </c>
      <c r="C69" t="n">
        <v>2024</v>
      </c>
      <c r="D69" t="inlineStr">
        <is>
          <t>Q4</t>
        </is>
      </c>
      <c r="E69" t="inlineStr">
        <is>
          <t>Nov</t>
        </is>
      </c>
      <c r="F69" t="inlineStr">
        <is>
          <t>North</t>
        </is>
      </c>
      <c r="G69" t="inlineStr">
        <is>
          <t>Enterprise</t>
        </is>
      </c>
      <c r="H69" t="inlineStr">
        <is>
          <t>Direct</t>
        </is>
      </c>
      <c r="I69" t="inlineStr">
        <is>
          <t>Subscriptions</t>
        </is>
      </c>
      <c r="J69" t="inlineStr">
        <is>
          <t>Starter</t>
        </is>
      </c>
      <c r="K69" t="inlineStr">
        <is>
          <t>D. Iyer</t>
        </is>
      </c>
      <c r="L69" t="n">
        <v>9</v>
      </c>
      <c r="M69" s="3" t="n">
        <v>1341.83</v>
      </c>
      <c r="N69" s="3">
        <f>L69*M69</f>
        <v/>
      </c>
      <c r="O69" s="3">
        <f>N69*0.24</f>
        <v/>
      </c>
      <c r="P69" s="3">
        <f>N69-O69</f>
        <v/>
      </c>
      <c r="Q69" s="4">
        <f>IF(N69=0,0,P69/N69)</f>
        <v/>
      </c>
    </row>
    <row r="70">
      <c r="A70" t="inlineStr">
        <is>
          <t>ORD-1068</t>
        </is>
      </c>
      <c r="B70" s="2" t="n">
        <v>45480</v>
      </c>
      <c r="C70" t="n">
        <v>2024</v>
      </c>
      <c r="D70" t="inlineStr">
        <is>
          <t>Q3</t>
        </is>
      </c>
      <c r="E70" t="inlineStr">
        <is>
          <t>Jul</t>
        </is>
      </c>
      <c r="F70" t="inlineStr">
        <is>
          <t>North</t>
        </is>
      </c>
      <c r="G70" t="inlineStr">
        <is>
          <t>SMB</t>
        </is>
      </c>
      <c r="H70" t="inlineStr">
        <is>
          <t>Partner</t>
        </is>
      </c>
      <c r="I70" t="inlineStr">
        <is>
          <t>Subscriptions</t>
        </is>
      </c>
      <c r="J70" t="inlineStr">
        <is>
          <t>Enterprise</t>
        </is>
      </c>
      <c r="K70" t="inlineStr">
        <is>
          <t>A. Rao</t>
        </is>
      </c>
      <c r="L70" t="n">
        <v>39</v>
      </c>
      <c r="M70" s="3" t="n">
        <v>2420.22</v>
      </c>
      <c r="N70" s="3">
        <f>L70*M70</f>
        <v/>
      </c>
      <c r="O70" s="3">
        <f>N70*0.276</f>
        <v/>
      </c>
      <c r="P70" s="3">
        <f>N70-O70</f>
        <v/>
      </c>
      <c r="Q70" s="4">
        <f>IF(N70=0,0,P70/N70)</f>
        <v/>
      </c>
    </row>
    <row r="71">
      <c r="A71" t="inlineStr">
        <is>
          <t>ORD-1069</t>
        </is>
      </c>
      <c r="B71" s="2" t="n">
        <v>45451</v>
      </c>
      <c r="C71" t="n">
        <v>2024</v>
      </c>
      <c r="D71" t="inlineStr">
        <is>
          <t>Q2</t>
        </is>
      </c>
      <c r="E71" t="inlineStr">
        <is>
          <t>Jun</t>
        </is>
      </c>
      <c r="F71" t="inlineStr">
        <is>
          <t>South</t>
        </is>
      </c>
      <c r="G71" t="inlineStr">
        <is>
          <t>SMB</t>
        </is>
      </c>
      <c r="H71" t="inlineStr">
        <is>
          <t>Self-serve</t>
        </is>
      </c>
      <c r="I71" t="inlineStr">
        <is>
          <t>Services</t>
        </is>
      </c>
      <c r="J71" t="inlineStr">
        <is>
          <t>Training</t>
        </is>
      </c>
      <c r="K71" t="inlineStr">
        <is>
          <t>F. Shah</t>
        </is>
      </c>
      <c r="L71" t="n">
        <v>26</v>
      </c>
      <c r="M71" s="3" t="n">
        <v>2371.24</v>
      </c>
      <c r="N71" s="3">
        <f>L71*M71</f>
        <v/>
      </c>
      <c r="O71" s="3">
        <f>N71*0.201</f>
        <v/>
      </c>
      <c r="P71" s="3">
        <f>N71-O71</f>
        <v/>
      </c>
      <c r="Q71" s="4">
        <f>IF(N71=0,0,P71/N71)</f>
        <v/>
      </c>
    </row>
    <row r="72">
      <c r="A72" t="inlineStr">
        <is>
          <t>ORD-1070</t>
        </is>
      </c>
      <c r="B72" s="2" t="n">
        <v>45416</v>
      </c>
      <c r="C72" t="n">
        <v>2024</v>
      </c>
      <c r="D72" t="inlineStr">
        <is>
          <t>Q2</t>
        </is>
      </c>
      <c r="E72" t="inlineStr">
        <is>
          <t>May</t>
        </is>
      </c>
      <c r="F72" t="inlineStr">
        <is>
          <t>North</t>
        </is>
      </c>
      <c r="G72" t="inlineStr">
        <is>
          <t>Enterprise</t>
        </is>
      </c>
      <c r="H72" t="inlineStr">
        <is>
          <t>Direct</t>
        </is>
      </c>
      <c r="I72" t="inlineStr">
        <is>
          <t>Subscriptions</t>
        </is>
      </c>
      <c r="J72" t="inlineStr">
        <is>
          <t>Enterprise</t>
        </is>
      </c>
      <c r="K72" t="inlineStr">
        <is>
          <t>C. Mehta</t>
        </is>
      </c>
      <c r="L72" t="n">
        <v>50</v>
      </c>
      <c r="M72" s="3" t="n">
        <v>963.48</v>
      </c>
      <c r="N72" s="3">
        <f>L72*M72</f>
        <v/>
      </c>
      <c r="O72" s="3">
        <f>N72*0.29</f>
        <v/>
      </c>
      <c r="P72" s="3">
        <f>N72-O72</f>
        <v/>
      </c>
      <c r="Q72" s="4">
        <f>IF(N72=0,0,P72/N72)</f>
        <v/>
      </c>
    </row>
    <row r="73">
      <c r="A73" t="inlineStr">
        <is>
          <t>ORD-1071</t>
        </is>
      </c>
      <c r="B73" s="2" t="n">
        <v>45630</v>
      </c>
      <c r="C73" t="n">
        <v>2024</v>
      </c>
      <c r="D73" t="inlineStr">
        <is>
          <t>Q4</t>
        </is>
      </c>
      <c r="E73" t="inlineStr">
        <is>
          <t>Dec</t>
        </is>
      </c>
      <c r="F73" t="inlineStr">
        <is>
          <t>North</t>
        </is>
      </c>
      <c r="G73" t="inlineStr">
        <is>
          <t>Mid-Market</t>
        </is>
      </c>
      <c r="H73" t="inlineStr">
        <is>
          <t>Partner</t>
        </is>
      </c>
      <c r="I73" t="inlineStr">
        <is>
          <t>Add-ons</t>
        </is>
      </c>
      <c r="J73" t="inlineStr">
        <is>
          <t>Analytics</t>
        </is>
      </c>
      <c r="K73" t="inlineStr">
        <is>
          <t>A. Rao</t>
        </is>
      </c>
      <c r="L73" t="n">
        <v>33</v>
      </c>
      <c r="M73" s="3" t="n">
        <v>1724.6</v>
      </c>
      <c r="N73" s="3">
        <f>L73*M73</f>
        <v/>
      </c>
      <c r="O73" s="3">
        <f>N73*0.32</f>
        <v/>
      </c>
      <c r="P73" s="3">
        <f>N73-O73</f>
        <v/>
      </c>
      <c r="Q73" s="4">
        <f>IF(N73=0,0,P73/N73)</f>
        <v/>
      </c>
    </row>
    <row r="74">
      <c r="A74" t="inlineStr">
        <is>
          <t>ORD-1072</t>
        </is>
      </c>
      <c r="B74" s="2" t="n">
        <v>45477</v>
      </c>
      <c r="C74" t="n">
        <v>2024</v>
      </c>
      <c r="D74" t="inlineStr">
        <is>
          <t>Q3</t>
        </is>
      </c>
      <c r="E74" t="inlineStr">
        <is>
          <t>Jul</t>
        </is>
      </c>
      <c r="F74" t="inlineStr">
        <is>
          <t>South</t>
        </is>
      </c>
      <c r="G74" t="inlineStr">
        <is>
          <t>Enterprise</t>
        </is>
      </c>
      <c r="H74" t="inlineStr">
        <is>
          <t>Self-serve</t>
        </is>
      </c>
      <c r="I74" t="inlineStr">
        <is>
          <t>Services</t>
        </is>
      </c>
      <c r="J74" t="inlineStr">
        <is>
          <t>Training</t>
        </is>
      </c>
      <c r="K74" t="inlineStr">
        <is>
          <t>F. Shah</t>
        </is>
      </c>
      <c r="L74" t="n">
        <v>46</v>
      </c>
      <c r="M74" s="3" t="n">
        <v>636.58</v>
      </c>
      <c r="N74" s="3">
        <f>L74*M74</f>
        <v/>
      </c>
      <c r="O74" s="3">
        <f>N74*0.369</f>
        <v/>
      </c>
      <c r="P74" s="3">
        <f>N74-O74</f>
        <v/>
      </c>
      <c r="Q74" s="4">
        <f>IF(N74=0,0,P74/N74)</f>
        <v/>
      </c>
    </row>
    <row r="75">
      <c r="A75" t="inlineStr">
        <is>
          <t>ORD-1073</t>
        </is>
      </c>
      <c r="B75" s="2" t="n">
        <v>45567</v>
      </c>
      <c r="C75" t="n">
        <v>2024</v>
      </c>
      <c r="D75" t="inlineStr">
        <is>
          <t>Q4</t>
        </is>
      </c>
      <c r="E75" t="inlineStr">
        <is>
          <t>Oct</t>
        </is>
      </c>
      <c r="F75" t="inlineStr">
        <is>
          <t>East</t>
        </is>
      </c>
      <c r="G75" t="inlineStr">
        <is>
          <t>Mid-Market</t>
        </is>
      </c>
      <c r="H75" t="inlineStr">
        <is>
          <t>Direct</t>
        </is>
      </c>
      <c r="I75" t="inlineStr">
        <is>
          <t>Add-ons</t>
        </is>
      </c>
      <c r="J75" t="inlineStr">
        <is>
          <t>Support Plus</t>
        </is>
      </c>
      <c r="K75" t="inlineStr">
        <is>
          <t>A. Rao</t>
        </is>
      </c>
      <c r="L75" t="n">
        <v>28</v>
      </c>
      <c r="M75" s="3" t="n">
        <v>2116.62</v>
      </c>
      <c r="N75" s="3">
        <f>L75*M75</f>
        <v/>
      </c>
      <c r="O75" s="3">
        <f>N75*0.366</f>
        <v/>
      </c>
      <c r="P75" s="3">
        <f>N75-O75</f>
        <v/>
      </c>
      <c r="Q75" s="4">
        <f>IF(N75=0,0,P75/N75)</f>
        <v/>
      </c>
    </row>
    <row r="76">
      <c r="A76" t="inlineStr">
        <is>
          <t>ORD-1074</t>
        </is>
      </c>
      <c r="B76" s="2" t="n">
        <v>45522</v>
      </c>
      <c r="C76" t="n">
        <v>2024</v>
      </c>
      <c r="D76" t="inlineStr">
        <is>
          <t>Q3</t>
        </is>
      </c>
      <c r="E76" t="inlineStr">
        <is>
          <t>Aug</t>
        </is>
      </c>
      <c r="F76" t="inlineStr">
        <is>
          <t>West</t>
        </is>
      </c>
      <c r="G76" t="inlineStr">
        <is>
          <t>Mid-Market</t>
        </is>
      </c>
      <c r="H76" t="inlineStr">
        <is>
          <t>Direct</t>
        </is>
      </c>
      <c r="I76" t="inlineStr">
        <is>
          <t>Subscriptions</t>
        </is>
      </c>
      <c r="J76" t="inlineStr">
        <is>
          <t>Pro</t>
        </is>
      </c>
      <c r="K76" t="inlineStr">
        <is>
          <t>D. Iyer</t>
        </is>
      </c>
      <c r="L76" t="n">
        <v>37</v>
      </c>
      <c r="M76" s="3" t="n">
        <v>1642.73</v>
      </c>
      <c r="N76" s="3">
        <f>L76*M76</f>
        <v/>
      </c>
      <c r="O76" s="3">
        <f>N76*0.195</f>
        <v/>
      </c>
      <c r="P76" s="3">
        <f>N76-O76</f>
        <v/>
      </c>
      <c r="Q76" s="4">
        <f>IF(N76=0,0,P76/N76)</f>
        <v/>
      </c>
    </row>
    <row r="77">
      <c r="A77" t="inlineStr">
        <is>
          <t>ORD-1075</t>
        </is>
      </c>
      <c r="B77" s="2" t="n">
        <v>45385</v>
      </c>
      <c r="C77" t="n">
        <v>2024</v>
      </c>
      <c r="D77" t="inlineStr">
        <is>
          <t>Q2</t>
        </is>
      </c>
      <c r="E77" t="inlineStr">
        <is>
          <t>Apr</t>
        </is>
      </c>
      <c r="F77" t="inlineStr">
        <is>
          <t>East</t>
        </is>
      </c>
      <c r="G77" t="inlineStr">
        <is>
          <t>Mid-Market</t>
        </is>
      </c>
      <c r="H77" t="inlineStr">
        <is>
          <t>Self-serve</t>
        </is>
      </c>
      <c r="I77" t="inlineStr">
        <is>
          <t>Add-ons</t>
        </is>
      </c>
      <c r="J77" t="inlineStr">
        <is>
          <t>Analytics</t>
        </is>
      </c>
      <c r="K77" t="inlineStr">
        <is>
          <t>F. Shah</t>
        </is>
      </c>
      <c r="L77" t="n">
        <v>23</v>
      </c>
      <c r="M77" s="3" t="n">
        <v>2055.23</v>
      </c>
      <c r="N77" s="3">
        <f>L77*M77</f>
        <v/>
      </c>
      <c r="O77" s="3">
        <f>N77*0.186</f>
        <v/>
      </c>
      <c r="P77" s="3">
        <f>N77-O77</f>
        <v/>
      </c>
      <c r="Q77" s="4">
        <f>IF(N77=0,0,P77/N77)</f>
        <v/>
      </c>
    </row>
    <row r="78">
      <c r="A78" t="inlineStr">
        <is>
          <t>ORD-1076</t>
        </is>
      </c>
      <c r="B78" s="2" t="n">
        <v>45576</v>
      </c>
      <c r="C78" t="n">
        <v>2024</v>
      </c>
      <c r="D78" t="inlineStr">
        <is>
          <t>Q4</t>
        </is>
      </c>
      <c r="E78" t="inlineStr">
        <is>
          <t>Oct</t>
        </is>
      </c>
      <c r="F78" t="inlineStr">
        <is>
          <t>West</t>
        </is>
      </c>
      <c r="G78" t="inlineStr">
        <is>
          <t>Mid-Market</t>
        </is>
      </c>
      <c r="H78" t="inlineStr">
        <is>
          <t>Self-serve</t>
        </is>
      </c>
      <c r="I78" t="inlineStr">
        <is>
          <t>Subscriptions</t>
        </is>
      </c>
      <c r="J78" t="inlineStr">
        <is>
          <t>Enterprise</t>
        </is>
      </c>
      <c r="K78" t="inlineStr">
        <is>
          <t>B. Khan</t>
        </is>
      </c>
      <c r="L78" t="n">
        <v>13</v>
      </c>
      <c r="M78" s="3" t="n">
        <v>488.35</v>
      </c>
      <c r="N78" s="3">
        <f>L78*M78</f>
        <v/>
      </c>
      <c r="O78" s="3">
        <f>N78*0.243</f>
        <v/>
      </c>
      <c r="P78" s="3">
        <f>N78-O78</f>
        <v/>
      </c>
      <c r="Q78" s="4">
        <f>IF(N78=0,0,P78/N78)</f>
        <v/>
      </c>
    </row>
    <row r="79">
      <c r="A79" t="inlineStr">
        <is>
          <t>ORD-1077</t>
        </is>
      </c>
      <c r="B79" s="2" t="n">
        <v>45622</v>
      </c>
      <c r="C79" t="n">
        <v>2024</v>
      </c>
      <c r="D79" t="inlineStr">
        <is>
          <t>Q4</t>
        </is>
      </c>
      <c r="E79" t="inlineStr">
        <is>
          <t>Nov</t>
        </is>
      </c>
      <c r="F79" t="inlineStr">
        <is>
          <t>North</t>
        </is>
      </c>
      <c r="G79" t="inlineStr">
        <is>
          <t>Mid-Market</t>
        </is>
      </c>
      <c r="H79" t="inlineStr">
        <is>
          <t>Direct</t>
        </is>
      </c>
      <c r="I79" t="inlineStr">
        <is>
          <t>Services</t>
        </is>
      </c>
      <c r="J79" t="inlineStr">
        <is>
          <t>Training</t>
        </is>
      </c>
      <c r="K79" t="inlineStr">
        <is>
          <t>D. Iyer</t>
        </is>
      </c>
      <c r="L79" t="n">
        <v>29</v>
      </c>
      <c r="M79" s="3" t="n">
        <v>2044.45</v>
      </c>
      <c r="N79" s="3">
        <f>L79*M79</f>
        <v/>
      </c>
      <c r="O79" s="3">
        <f>N79*0.242</f>
        <v/>
      </c>
      <c r="P79" s="3">
        <f>N79-O79</f>
        <v/>
      </c>
      <c r="Q79" s="4">
        <f>IF(N79=0,0,P79/N79)</f>
        <v/>
      </c>
    </row>
    <row r="80">
      <c r="A80" t="inlineStr">
        <is>
          <t>ORD-1078</t>
        </is>
      </c>
      <c r="B80" s="2" t="n">
        <v>45448</v>
      </c>
      <c r="C80" t="n">
        <v>2024</v>
      </c>
      <c r="D80" t="inlineStr">
        <is>
          <t>Q2</t>
        </is>
      </c>
      <c r="E80" t="inlineStr">
        <is>
          <t>Jun</t>
        </is>
      </c>
      <c r="F80" t="inlineStr">
        <is>
          <t>East</t>
        </is>
      </c>
      <c r="G80" t="inlineStr">
        <is>
          <t>Mid-Market</t>
        </is>
      </c>
      <c r="H80" t="inlineStr">
        <is>
          <t>Self-serve</t>
        </is>
      </c>
      <c r="I80" t="inlineStr">
        <is>
          <t>Services</t>
        </is>
      </c>
      <c r="J80" t="inlineStr">
        <is>
          <t>Training</t>
        </is>
      </c>
      <c r="K80" t="inlineStr">
        <is>
          <t>E. Nair</t>
        </is>
      </c>
      <c r="L80" t="n">
        <v>31</v>
      </c>
      <c r="M80" s="3" t="n">
        <v>1517.64</v>
      </c>
      <c r="N80" s="3">
        <f>L80*M80</f>
        <v/>
      </c>
      <c r="O80" s="3">
        <f>N80*0.351</f>
        <v/>
      </c>
      <c r="P80" s="3">
        <f>N80-O80</f>
        <v/>
      </c>
      <c r="Q80" s="4">
        <f>IF(N80=0,0,P80/N80)</f>
        <v/>
      </c>
    </row>
    <row r="81">
      <c r="A81" t="inlineStr">
        <is>
          <t>ORD-1079</t>
        </is>
      </c>
      <c r="B81" s="2" t="n">
        <v>45651</v>
      </c>
      <c r="C81" t="n">
        <v>2024</v>
      </c>
      <c r="D81" t="inlineStr">
        <is>
          <t>Q4</t>
        </is>
      </c>
      <c r="E81" t="inlineStr">
        <is>
          <t>Dec</t>
        </is>
      </c>
      <c r="F81" t="inlineStr">
        <is>
          <t>North</t>
        </is>
      </c>
      <c r="G81" t="inlineStr">
        <is>
          <t>Enterprise</t>
        </is>
      </c>
      <c r="H81" t="inlineStr">
        <is>
          <t>Direct</t>
        </is>
      </c>
      <c r="I81" t="inlineStr">
        <is>
          <t>Add-ons</t>
        </is>
      </c>
      <c r="J81" t="inlineStr">
        <is>
          <t>Support Plus</t>
        </is>
      </c>
      <c r="K81" t="inlineStr">
        <is>
          <t>C. Mehta</t>
        </is>
      </c>
      <c r="L81" t="n">
        <v>20</v>
      </c>
      <c r="M81" s="3" t="n">
        <v>853.09</v>
      </c>
      <c r="N81" s="3">
        <f>L81*M81</f>
        <v/>
      </c>
      <c r="O81" s="3">
        <f>N81*0.414</f>
        <v/>
      </c>
      <c r="P81" s="3">
        <f>N81-O81</f>
        <v/>
      </c>
      <c r="Q81" s="4">
        <f>IF(N81=0,0,P81/N81)</f>
        <v/>
      </c>
    </row>
    <row r="82">
      <c r="A82" t="inlineStr">
        <is>
          <t>ORD-1080</t>
        </is>
      </c>
      <c r="B82" s="2" t="n">
        <v>45566</v>
      </c>
      <c r="C82" t="n">
        <v>2024</v>
      </c>
      <c r="D82" t="inlineStr">
        <is>
          <t>Q4</t>
        </is>
      </c>
      <c r="E82" t="inlineStr">
        <is>
          <t>Oct</t>
        </is>
      </c>
      <c r="F82" t="inlineStr">
        <is>
          <t>West</t>
        </is>
      </c>
      <c r="G82" t="inlineStr">
        <is>
          <t>Mid-Market</t>
        </is>
      </c>
      <c r="H82" t="inlineStr">
        <is>
          <t>Self-serve</t>
        </is>
      </c>
      <c r="I82" t="inlineStr">
        <is>
          <t>Services</t>
        </is>
      </c>
      <c r="J82" t="inlineStr">
        <is>
          <t>Onboarding</t>
        </is>
      </c>
      <c r="K82" t="inlineStr">
        <is>
          <t>E. Nair</t>
        </is>
      </c>
      <c r="L82" t="n">
        <v>13</v>
      </c>
      <c r="M82" s="3" t="n">
        <v>776.05</v>
      </c>
      <c r="N82" s="3">
        <f>L82*M82</f>
        <v/>
      </c>
      <c r="O82" s="3">
        <f>N82*0.157</f>
        <v/>
      </c>
      <c r="P82" s="3">
        <f>N82-O82</f>
        <v/>
      </c>
      <c r="Q82" s="4">
        <f>IF(N82=0,0,P82/N82)</f>
        <v/>
      </c>
    </row>
    <row r="83">
      <c r="A83" t="inlineStr">
        <is>
          <t>ORD-1081</t>
        </is>
      </c>
      <c r="B83" s="2" t="n">
        <v>45560</v>
      </c>
      <c r="C83" t="n">
        <v>2024</v>
      </c>
      <c r="D83" t="inlineStr">
        <is>
          <t>Q3</t>
        </is>
      </c>
      <c r="E83" t="inlineStr">
        <is>
          <t>Sep</t>
        </is>
      </c>
      <c r="F83" t="inlineStr">
        <is>
          <t>East</t>
        </is>
      </c>
      <c r="G83" t="inlineStr">
        <is>
          <t>SMB</t>
        </is>
      </c>
      <c r="H83" t="inlineStr">
        <is>
          <t>Partner</t>
        </is>
      </c>
      <c r="I83" t="inlineStr">
        <is>
          <t>Services</t>
        </is>
      </c>
      <c r="J83" t="inlineStr">
        <is>
          <t>Training</t>
        </is>
      </c>
      <c r="K83" t="inlineStr">
        <is>
          <t>B. Khan</t>
        </is>
      </c>
      <c r="L83" t="n">
        <v>7</v>
      </c>
      <c r="M83" s="3" t="n">
        <v>2131.78</v>
      </c>
      <c r="N83" s="3">
        <f>L83*M83</f>
        <v/>
      </c>
      <c r="O83" s="3">
        <f>N83*0.359</f>
        <v/>
      </c>
      <c r="P83" s="3">
        <f>N83-O83</f>
        <v/>
      </c>
      <c r="Q83" s="4">
        <f>IF(N83=0,0,P83/N83)</f>
        <v/>
      </c>
    </row>
    <row r="84">
      <c r="A84" t="inlineStr">
        <is>
          <t>ORD-1082</t>
        </is>
      </c>
      <c r="B84" s="2" t="n">
        <v>45654</v>
      </c>
      <c r="C84" t="n">
        <v>2024</v>
      </c>
      <c r="D84" t="inlineStr">
        <is>
          <t>Q4</t>
        </is>
      </c>
      <c r="E84" t="inlineStr">
        <is>
          <t>Dec</t>
        </is>
      </c>
      <c r="F84" t="inlineStr">
        <is>
          <t>North</t>
        </is>
      </c>
      <c r="G84" t="inlineStr">
        <is>
          <t>Enterprise</t>
        </is>
      </c>
      <c r="H84" t="inlineStr">
        <is>
          <t>Partner</t>
        </is>
      </c>
      <c r="I84" t="inlineStr">
        <is>
          <t>Services</t>
        </is>
      </c>
      <c r="J84" t="inlineStr">
        <is>
          <t>Onboarding</t>
        </is>
      </c>
      <c r="K84" t="inlineStr">
        <is>
          <t>F. Shah</t>
        </is>
      </c>
      <c r="L84" t="n">
        <v>18</v>
      </c>
      <c r="M84" s="3" t="n">
        <v>400.13</v>
      </c>
      <c r="N84" s="3">
        <f>L84*M84</f>
        <v/>
      </c>
      <c r="O84" s="3">
        <f>N84*0.167</f>
        <v/>
      </c>
      <c r="P84" s="3">
        <f>N84-O84</f>
        <v/>
      </c>
      <c r="Q84" s="4">
        <f>IF(N84=0,0,P84/N84)</f>
        <v/>
      </c>
    </row>
    <row r="85">
      <c r="A85" t="inlineStr">
        <is>
          <t>ORD-1083</t>
        </is>
      </c>
      <c r="B85" s="2" t="n">
        <v>45618</v>
      </c>
      <c r="C85" t="n">
        <v>2024</v>
      </c>
      <c r="D85" t="inlineStr">
        <is>
          <t>Q4</t>
        </is>
      </c>
      <c r="E85" t="inlineStr">
        <is>
          <t>Nov</t>
        </is>
      </c>
      <c r="F85" t="inlineStr">
        <is>
          <t>West</t>
        </is>
      </c>
      <c r="G85" t="inlineStr">
        <is>
          <t>Mid-Market</t>
        </is>
      </c>
      <c r="H85" t="inlineStr">
        <is>
          <t>Partner</t>
        </is>
      </c>
      <c r="I85" t="inlineStr">
        <is>
          <t>Add-ons</t>
        </is>
      </c>
      <c r="J85" t="inlineStr">
        <is>
          <t>Analytics</t>
        </is>
      </c>
      <c r="K85" t="inlineStr">
        <is>
          <t>C. Mehta</t>
        </is>
      </c>
      <c r="L85" t="n">
        <v>1</v>
      </c>
      <c r="M85" s="3" t="n">
        <v>1562.94</v>
      </c>
      <c r="N85" s="3">
        <f>L85*M85</f>
        <v/>
      </c>
      <c r="O85" s="3">
        <f>N85*0.395</f>
        <v/>
      </c>
      <c r="P85" s="3">
        <f>N85-O85</f>
        <v/>
      </c>
      <c r="Q85" s="4">
        <f>IF(N85=0,0,P85/N85)</f>
        <v/>
      </c>
    </row>
    <row r="86">
      <c r="A86" t="inlineStr">
        <is>
          <t>ORD-1084</t>
        </is>
      </c>
      <c r="B86" s="2" t="n">
        <v>45318</v>
      </c>
      <c r="C86" t="n">
        <v>2024</v>
      </c>
      <c r="D86" t="inlineStr">
        <is>
          <t>Q1</t>
        </is>
      </c>
      <c r="E86" t="inlineStr">
        <is>
          <t>Jan</t>
        </is>
      </c>
      <c r="F86" t="inlineStr">
        <is>
          <t>West</t>
        </is>
      </c>
      <c r="G86" t="inlineStr">
        <is>
          <t>Mid-Market</t>
        </is>
      </c>
      <c r="H86" t="inlineStr">
        <is>
          <t>Direct</t>
        </is>
      </c>
      <c r="I86" t="inlineStr">
        <is>
          <t>Add-ons</t>
        </is>
      </c>
      <c r="J86" t="inlineStr">
        <is>
          <t>Support Plus</t>
        </is>
      </c>
      <c r="K86" t="inlineStr">
        <is>
          <t>E. Nair</t>
        </is>
      </c>
      <c r="L86" t="n">
        <v>8</v>
      </c>
      <c r="M86" s="3" t="n">
        <v>2108.65</v>
      </c>
      <c r="N86" s="3">
        <f>L86*M86</f>
        <v/>
      </c>
      <c r="O86" s="3">
        <f>N86*0.261</f>
        <v/>
      </c>
      <c r="P86" s="3">
        <f>N86-O86</f>
        <v/>
      </c>
      <c r="Q86" s="4">
        <f>IF(N86=0,0,P86/N86)</f>
        <v/>
      </c>
    </row>
    <row r="87">
      <c r="A87" t="inlineStr">
        <is>
          <t>ORD-1085</t>
        </is>
      </c>
      <c r="B87" s="2" t="n">
        <v>45319</v>
      </c>
      <c r="C87" t="n">
        <v>2024</v>
      </c>
      <c r="D87" t="inlineStr">
        <is>
          <t>Q1</t>
        </is>
      </c>
      <c r="E87" t="inlineStr">
        <is>
          <t>Jan</t>
        </is>
      </c>
      <c r="F87" t="inlineStr">
        <is>
          <t>North</t>
        </is>
      </c>
      <c r="G87" t="inlineStr">
        <is>
          <t>SMB</t>
        </is>
      </c>
      <c r="H87" t="inlineStr">
        <is>
          <t>Direct</t>
        </is>
      </c>
      <c r="I87" t="inlineStr">
        <is>
          <t>Subscriptions</t>
        </is>
      </c>
      <c r="J87" t="inlineStr">
        <is>
          <t>Starter</t>
        </is>
      </c>
      <c r="K87" t="inlineStr">
        <is>
          <t>E. Nair</t>
        </is>
      </c>
      <c r="L87" t="n">
        <v>37</v>
      </c>
      <c r="M87" s="3" t="n">
        <v>2388.08</v>
      </c>
      <c r="N87" s="3">
        <f>L87*M87</f>
        <v/>
      </c>
      <c r="O87" s="3">
        <f>N87*0.221</f>
        <v/>
      </c>
      <c r="P87" s="3">
        <f>N87-O87</f>
        <v/>
      </c>
      <c r="Q87" s="4">
        <f>IF(N87=0,0,P87/N87)</f>
        <v/>
      </c>
    </row>
    <row r="88">
      <c r="A88" t="inlineStr">
        <is>
          <t>ORD-1086</t>
        </is>
      </c>
      <c r="B88" s="2" t="n">
        <v>45602</v>
      </c>
      <c r="C88" t="n">
        <v>2024</v>
      </c>
      <c r="D88" t="inlineStr">
        <is>
          <t>Q4</t>
        </is>
      </c>
      <c r="E88" t="inlineStr">
        <is>
          <t>Nov</t>
        </is>
      </c>
      <c r="F88" t="inlineStr">
        <is>
          <t>West</t>
        </is>
      </c>
      <c r="G88" t="inlineStr">
        <is>
          <t>Mid-Market</t>
        </is>
      </c>
      <c r="H88" t="inlineStr">
        <is>
          <t>Partner</t>
        </is>
      </c>
      <c r="I88" t="inlineStr">
        <is>
          <t>Services</t>
        </is>
      </c>
      <c r="J88" t="inlineStr">
        <is>
          <t>Onboarding</t>
        </is>
      </c>
      <c r="K88" t="inlineStr">
        <is>
          <t>E. Nair</t>
        </is>
      </c>
      <c r="L88" t="n">
        <v>50</v>
      </c>
      <c r="M88" s="3" t="n">
        <v>1449.66</v>
      </c>
      <c r="N88" s="3">
        <f>L88*M88</f>
        <v/>
      </c>
      <c r="O88" s="3">
        <f>N88*0.153</f>
        <v/>
      </c>
      <c r="P88" s="3">
        <f>N88-O88</f>
        <v/>
      </c>
      <c r="Q88" s="4">
        <f>IF(N88=0,0,P88/N88)</f>
        <v/>
      </c>
    </row>
    <row r="89">
      <c r="A89" t="inlineStr">
        <is>
          <t>ORD-1087</t>
        </is>
      </c>
      <c r="B89" s="2" t="n">
        <v>45448</v>
      </c>
      <c r="C89" t="n">
        <v>2024</v>
      </c>
      <c r="D89" t="inlineStr">
        <is>
          <t>Q2</t>
        </is>
      </c>
      <c r="E89" t="inlineStr">
        <is>
          <t>Jun</t>
        </is>
      </c>
      <c r="F89" t="inlineStr">
        <is>
          <t>North</t>
        </is>
      </c>
      <c r="G89" t="inlineStr">
        <is>
          <t>SMB</t>
        </is>
      </c>
      <c r="H89" t="inlineStr">
        <is>
          <t>Self-serve</t>
        </is>
      </c>
      <c r="I89" t="inlineStr">
        <is>
          <t>Services</t>
        </is>
      </c>
      <c r="J89" t="inlineStr">
        <is>
          <t>Onboarding</t>
        </is>
      </c>
      <c r="K89" t="inlineStr">
        <is>
          <t>B. Khan</t>
        </is>
      </c>
      <c r="L89" t="n">
        <v>40</v>
      </c>
      <c r="M89" s="3" t="n">
        <v>2412.24</v>
      </c>
      <c r="N89" s="3">
        <f>L89*M89</f>
        <v/>
      </c>
      <c r="O89" s="3">
        <f>N89*0.371</f>
        <v/>
      </c>
      <c r="P89" s="3">
        <f>N89-O89</f>
        <v/>
      </c>
      <c r="Q89" s="4">
        <f>IF(N89=0,0,P89/N89)</f>
        <v/>
      </c>
    </row>
    <row r="90">
      <c r="A90" t="inlineStr">
        <is>
          <t>ORD-1088</t>
        </is>
      </c>
      <c r="B90" s="2" t="n">
        <v>45333</v>
      </c>
      <c r="C90" t="n">
        <v>2024</v>
      </c>
      <c r="D90" t="inlineStr">
        <is>
          <t>Q1</t>
        </is>
      </c>
      <c r="E90" t="inlineStr">
        <is>
          <t>Feb</t>
        </is>
      </c>
      <c r="F90" t="inlineStr">
        <is>
          <t>South</t>
        </is>
      </c>
      <c r="G90" t="inlineStr">
        <is>
          <t>SMB</t>
        </is>
      </c>
      <c r="H90" t="inlineStr">
        <is>
          <t>Partner</t>
        </is>
      </c>
      <c r="I90" t="inlineStr">
        <is>
          <t>Subscriptions</t>
        </is>
      </c>
      <c r="J90" t="inlineStr">
        <is>
          <t>Starter</t>
        </is>
      </c>
      <c r="K90" t="inlineStr">
        <is>
          <t>D. Iyer</t>
        </is>
      </c>
      <c r="L90" t="n">
        <v>12</v>
      </c>
      <c r="M90" s="3" t="n">
        <v>1514.38</v>
      </c>
      <c r="N90" s="3">
        <f>L90*M90</f>
        <v/>
      </c>
      <c r="O90" s="3">
        <f>N90*0.243</f>
        <v/>
      </c>
      <c r="P90" s="3">
        <f>N90-O90</f>
        <v/>
      </c>
      <c r="Q90" s="4">
        <f>IF(N90=0,0,P90/N90)</f>
        <v/>
      </c>
    </row>
    <row r="91">
      <c r="A91" t="inlineStr">
        <is>
          <t>ORD-1089</t>
        </is>
      </c>
      <c r="B91" s="2" t="n">
        <v>45532</v>
      </c>
      <c r="C91" t="n">
        <v>2024</v>
      </c>
      <c r="D91" t="inlineStr">
        <is>
          <t>Q3</t>
        </is>
      </c>
      <c r="E91" t="inlineStr">
        <is>
          <t>Aug</t>
        </is>
      </c>
      <c r="F91" t="inlineStr">
        <is>
          <t>East</t>
        </is>
      </c>
      <c r="G91" t="inlineStr">
        <is>
          <t>Enterprise</t>
        </is>
      </c>
      <c r="H91" t="inlineStr">
        <is>
          <t>Partner</t>
        </is>
      </c>
      <c r="I91" t="inlineStr">
        <is>
          <t>Add-ons</t>
        </is>
      </c>
      <c r="J91" t="inlineStr">
        <is>
          <t>Analytics</t>
        </is>
      </c>
      <c r="K91" t="inlineStr">
        <is>
          <t>A. Rao</t>
        </is>
      </c>
      <c r="L91" t="n">
        <v>15</v>
      </c>
      <c r="M91" s="3" t="n">
        <v>933.83</v>
      </c>
      <c r="N91" s="3">
        <f>L91*M91</f>
        <v/>
      </c>
      <c r="O91" s="3">
        <f>N91*0.244</f>
        <v/>
      </c>
      <c r="P91" s="3">
        <f>N91-O91</f>
        <v/>
      </c>
      <c r="Q91" s="4">
        <f>IF(N91=0,0,P91/N91)</f>
        <v/>
      </c>
    </row>
    <row r="92">
      <c r="A92" t="inlineStr">
        <is>
          <t>ORD-1090</t>
        </is>
      </c>
      <c r="B92" s="2" t="n">
        <v>45427</v>
      </c>
      <c r="C92" t="n">
        <v>2024</v>
      </c>
      <c r="D92" t="inlineStr">
        <is>
          <t>Q2</t>
        </is>
      </c>
      <c r="E92" t="inlineStr">
        <is>
          <t>May</t>
        </is>
      </c>
      <c r="F92" t="inlineStr">
        <is>
          <t>South</t>
        </is>
      </c>
      <c r="G92" t="inlineStr">
        <is>
          <t>Enterprise</t>
        </is>
      </c>
      <c r="H92" t="inlineStr">
        <is>
          <t>Direct</t>
        </is>
      </c>
      <c r="I92" t="inlineStr">
        <is>
          <t>Services</t>
        </is>
      </c>
      <c r="J92" t="inlineStr">
        <is>
          <t>Onboarding</t>
        </is>
      </c>
      <c r="K92" t="inlineStr">
        <is>
          <t>C. Mehta</t>
        </is>
      </c>
      <c r="L92" t="n">
        <v>28</v>
      </c>
      <c r="M92" s="3" t="n">
        <v>552.51</v>
      </c>
      <c r="N92" s="3">
        <f>L92*M92</f>
        <v/>
      </c>
      <c r="O92" s="3">
        <f>N92*0.202</f>
        <v/>
      </c>
      <c r="P92" s="3">
        <f>N92-O92</f>
        <v/>
      </c>
      <c r="Q92" s="4">
        <f>IF(N92=0,0,P92/N92)</f>
        <v/>
      </c>
    </row>
    <row r="93">
      <c r="A93" t="inlineStr">
        <is>
          <t>ORD-1091</t>
        </is>
      </c>
      <c r="B93" s="2" t="n">
        <v>45328</v>
      </c>
      <c r="C93" t="n">
        <v>2024</v>
      </c>
      <c r="D93" t="inlineStr">
        <is>
          <t>Q1</t>
        </is>
      </c>
      <c r="E93" t="inlineStr">
        <is>
          <t>Feb</t>
        </is>
      </c>
      <c r="F93" t="inlineStr">
        <is>
          <t>East</t>
        </is>
      </c>
      <c r="G93" t="inlineStr">
        <is>
          <t>Mid-Market</t>
        </is>
      </c>
      <c r="H93" t="inlineStr">
        <is>
          <t>Direct</t>
        </is>
      </c>
      <c r="I93" t="inlineStr">
        <is>
          <t>Subscriptions</t>
        </is>
      </c>
      <c r="J93" t="inlineStr">
        <is>
          <t>Starter</t>
        </is>
      </c>
      <c r="K93" t="inlineStr">
        <is>
          <t>D. Iyer</t>
        </is>
      </c>
      <c r="L93" t="n">
        <v>20</v>
      </c>
      <c r="M93" s="3" t="n">
        <v>1609.1</v>
      </c>
      <c r="N93" s="3">
        <f>L93*M93</f>
        <v/>
      </c>
      <c r="O93" s="3">
        <f>N93*0.243</f>
        <v/>
      </c>
      <c r="P93" s="3">
        <f>N93-O93</f>
        <v/>
      </c>
      <c r="Q93" s="4">
        <f>IF(N93=0,0,P93/N93)</f>
        <v/>
      </c>
    </row>
    <row r="94">
      <c r="A94" t="inlineStr">
        <is>
          <t>ORD-1092</t>
        </is>
      </c>
      <c r="B94" s="2" t="n">
        <v>45650</v>
      </c>
      <c r="C94" t="n">
        <v>2024</v>
      </c>
      <c r="D94" t="inlineStr">
        <is>
          <t>Q4</t>
        </is>
      </c>
      <c r="E94" t="inlineStr">
        <is>
          <t>Dec</t>
        </is>
      </c>
      <c r="F94" t="inlineStr">
        <is>
          <t>West</t>
        </is>
      </c>
      <c r="G94" t="inlineStr">
        <is>
          <t>SMB</t>
        </is>
      </c>
      <c r="H94" t="inlineStr">
        <is>
          <t>Self-serve</t>
        </is>
      </c>
      <c r="I94" t="inlineStr">
        <is>
          <t>Add-ons</t>
        </is>
      </c>
      <c r="J94" t="inlineStr">
        <is>
          <t>Support Plus</t>
        </is>
      </c>
      <c r="K94" t="inlineStr">
        <is>
          <t>A. Rao</t>
        </is>
      </c>
      <c r="L94" t="n">
        <v>33</v>
      </c>
      <c r="M94" s="3" t="n">
        <v>1487.96</v>
      </c>
      <c r="N94" s="3">
        <f>L94*M94</f>
        <v/>
      </c>
      <c r="O94" s="3">
        <f>N94*0.183</f>
        <v/>
      </c>
      <c r="P94" s="3">
        <f>N94-O94</f>
        <v/>
      </c>
      <c r="Q94" s="4">
        <f>IF(N94=0,0,P94/N94)</f>
        <v/>
      </c>
    </row>
    <row r="95">
      <c r="A95" t="inlineStr">
        <is>
          <t>ORD-1093</t>
        </is>
      </c>
      <c r="B95" s="2" t="n">
        <v>45457</v>
      </c>
      <c r="C95" t="n">
        <v>2024</v>
      </c>
      <c r="D95" t="inlineStr">
        <is>
          <t>Q2</t>
        </is>
      </c>
      <c r="E95" t="inlineStr">
        <is>
          <t>Jun</t>
        </is>
      </c>
      <c r="F95" t="inlineStr">
        <is>
          <t>North</t>
        </is>
      </c>
      <c r="G95" t="inlineStr">
        <is>
          <t>Enterprise</t>
        </is>
      </c>
      <c r="H95" t="inlineStr">
        <is>
          <t>Partner</t>
        </is>
      </c>
      <c r="I95" t="inlineStr">
        <is>
          <t>Services</t>
        </is>
      </c>
      <c r="J95" t="inlineStr">
        <is>
          <t>Training</t>
        </is>
      </c>
      <c r="K95" t="inlineStr">
        <is>
          <t>E. Nair</t>
        </is>
      </c>
      <c r="L95" t="n">
        <v>2</v>
      </c>
      <c r="M95" s="3" t="n">
        <v>500.92</v>
      </c>
      <c r="N95" s="3">
        <f>L95*M95</f>
        <v/>
      </c>
      <c r="O95" s="3">
        <f>N95*0.438</f>
        <v/>
      </c>
      <c r="P95" s="3">
        <f>N95-O95</f>
        <v/>
      </c>
      <c r="Q95" s="4">
        <f>IF(N95=0,0,P95/N95)</f>
        <v/>
      </c>
    </row>
    <row r="96">
      <c r="A96" t="inlineStr">
        <is>
          <t>ORD-1094</t>
        </is>
      </c>
      <c r="B96" s="2" t="n">
        <v>45381</v>
      </c>
      <c r="C96" t="n">
        <v>2024</v>
      </c>
      <c r="D96" t="inlineStr">
        <is>
          <t>Q1</t>
        </is>
      </c>
      <c r="E96" t="inlineStr">
        <is>
          <t>Mar</t>
        </is>
      </c>
      <c r="F96" t="inlineStr">
        <is>
          <t>East</t>
        </is>
      </c>
      <c r="G96" t="inlineStr">
        <is>
          <t>SMB</t>
        </is>
      </c>
      <c r="H96" t="inlineStr">
        <is>
          <t>Self-serve</t>
        </is>
      </c>
      <c r="I96" t="inlineStr">
        <is>
          <t>Add-ons</t>
        </is>
      </c>
      <c r="J96" t="inlineStr">
        <is>
          <t>Extra Seats</t>
        </is>
      </c>
      <c r="K96" t="inlineStr">
        <is>
          <t>D. Iyer</t>
        </is>
      </c>
      <c r="L96" t="n">
        <v>42</v>
      </c>
      <c r="M96" s="3" t="n">
        <v>1272.9</v>
      </c>
      <c r="N96" s="3">
        <f>L96*M96</f>
        <v/>
      </c>
      <c r="O96" s="3">
        <f>N96*0.26</f>
        <v/>
      </c>
      <c r="P96" s="3">
        <f>N96-O96</f>
        <v/>
      </c>
      <c r="Q96" s="4">
        <f>IF(N96=0,0,P96/N96)</f>
        <v/>
      </c>
    </row>
    <row r="97">
      <c r="A97" t="inlineStr">
        <is>
          <t>ORD-1095</t>
        </is>
      </c>
      <c r="B97" s="2" t="n">
        <v>45543</v>
      </c>
      <c r="C97" t="n">
        <v>2024</v>
      </c>
      <c r="D97" t="inlineStr">
        <is>
          <t>Q3</t>
        </is>
      </c>
      <c r="E97" t="inlineStr">
        <is>
          <t>Sep</t>
        </is>
      </c>
      <c r="F97" t="inlineStr">
        <is>
          <t>East</t>
        </is>
      </c>
      <c r="G97" t="inlineStr">
        <is>
          <t>Enterprise</t>
        </is>
      </c>
      <c r="H97" t="inlineStr">
        <is>
          <t>Direct</t>
        </is>
      </c>
      <c r="I97" t="inlineStr">
        <is>
          <t>Subscriptions</t>
        </is>
      </c>
      <c r="J97" t="inlineStr">
        <is>
          <t>Pro</t>
        </is>
      </c>
      <c r="K97" t="inlineStr">
        <is>
          <t>B. Khan</t>
        </is>
      </c>
      <c r="L97" t="n">
        <v>23</v>
      </c>
      <c r="M97" s="3" t="n">
        <v>1198.37</v>
      </c>
      <c r="N97" s="3">
        <f>L97*M97</f>
        <v/>
      </c>
      <c r="O97" s="3">
        <f>N97*0.351</f>
        <v/>
      </c>
      <c r="P97" s="3">
        <f>N97-O97</f>
        <v/>
      </c>
      <c r="Q97" s="4">
        <f>IF(N97=0,0,P97/N97)</f>
        <v/>
      </c>
    </row>
    <row r="98">
      <c r="A98" t="inlineStr">
        <is>
          <t>ORD-1096</t>
        </is>
      </c>
      <c r="B98" s="2" t="n">
        <v>45647</v>
      </c>
      <c r="C98" t="n">
        <v>2024</v>
      </c>
      <c r="D98" t="inlineStr">
        <is>
          <t>Q4</t>
        </is>
      </c>
      <c r="E98" t="inlineStr">
        <is>
          <t>Dec</t>
        </is>
      </c>
      <c r="F98" t="inlineStr">
        <is>
          <t>North</t>
        </is>
      </c>
      <c r="G98" t="inlineStr">
        <is>
          <t>Mid-Market</t>
        </is>
      </c>
      <c r="H98" t="inlineStr">
        <is>
          <t>Direct</t>
        </is>
      </c>
      <c r="I98" t="inlineStr">
        <is>
          <t>Add-ons</t>
        </is>
      </c>
      <c r="J98" t="inlineStr">
        <is>
          <t>Support Plus</t>
        </is>
      </c>
      <c r="K98" t="inlineStr">
        <is>
          <t>C. Mehta</t>
        </is>
      </c>
      <c r="L98" t="n">
        <v>43</v>
      </c>
      <c r="M98" s="3" t="n">
        <v>2379.43</v>
      </c>
      <c r="N98" s="3">
        <f>L98*M98</f>
        <v/>
      </c>
      <c r="O98" s="3">
        <f>N98*0.374</f>
        <v/>
      </c>
      <c r="P98" s="3">
        <f>N98-O98</f>
        <v/>
      </c>
      <c r="Q98" s="4">
        <f>IF(N98=0,0,P98/N98)</f>
        <v/>
      </c>
    </row>
    <row r="99">
      <c r="A99" t="inlineStr">
        <is>
          <t>ORD-1097</t>
        </is>
      </c>
      <c r="B99" s="2" t="n">
        <v>45351</v>
      </c>
      <c r="C99" t="n">
        <v>2024</v>
      </c>
      <c r="D99" t="inlineStr">
        <is>
          <t>Q1</t>
        </is>
      </c>
      <c r="E99" t="inlineStr">
        <is>
          <t>Feb</t>
        </is>
      </c>
      <c r="F99" t="inlineStr">
        <is>
          <t>West</t>
        </is>
      </c>
      <c r="G99" t="inlineStr">
        <is>
          <t>Mid-Market</t>
        </is>
      </c>
      <c r="H99" t="inlineStr">
        <is>
          <t>Direct</t>
        </is>
      </c>
      <c r="I99" t="inlineStr">
        <is>
          <t>Add-ons</t>
        </is>
      </c>
      <c r="J99" t="inlineStr">
        <is>
          <t>Extra Seats</t>
        </is>
      </c>
      <c r="K99" t="inlineStr">
        <is>
          <t>B. Khan</t>
        </is>
      </c>
      <c r="L99" t="n">
        <v>1</v>
      </c>
      <c r="M99" s="3" t="n">
        <v>1746.85</v>
      </c>
      <c r="N99" s="3">
        <f>L99*M99</f>
        <v/>
      </c>
      <c r="O99" s="3">
        <f>N99*0.294</f>
        <v/>
      </c>
      <c r="P99" s="3">
        <f>N99-O99</f>
        <v/>
      </c>
      <c r="Q99" s="4">
        <f>IF(N99=0,0,P99/N99)</f>
        <v/>
      </c>
    </row>
    <row r="100">
      <c r="A100" t="inlineStr">
        <is>
          <t>ORD-1098</t>
        </is>
      </c>
      <c r="B100" s="2" t="n">
        <v>45610</v>
      </c>
      <c r="C100" t="n">
        <v>2024</v>
      </c>
      <c r="D100" t="inlineStr">
        <is>
          <t>Q4</t>
        </is>
      </c>
      <c r="E100" t="inlineStr">
        <is>
          <t>Nov</t>
        </is>
      </c>
      <c r="F100" t="inlineStr">
        <is>
          <t>South</t>
        </is>
      </c>
      <c r="G100" t="inlineStr">
        <is>
          <t>Mid-Market</t>
        </is>
      </c>
      <c r="H100" t="inlineStr">
        <is>
          <t>Self-serve</t>
        </is>
      </c>
      <c r="I100" t="inlineStr">
        <is>
          <t>Add-ons</t>
        </is>
      </c>
      <c r="J100" t="inlineStr">
        <is>
          <t>Extra Seats</t>
        </is>
      </c>
      <c r="K100" t="inlineStr">
        <is>
          <t>B. Khan</t>
        </is>
      </c>
      <c r="L100" t="n">
        <v>29</v>
      </c>
      <c r="M100" s="3" t="n">
        <v>1971.98</v>
      </c>
      <c r="N100" s="3">
        <f>L100*M100</f>
        <v/>
      </c>
      <c r="O100" s="3">
        <f>N100*0.172</f>
        <v/>
      </c>
      <c r="P100" s="3">
        <f>N100-O100</f>
        <v/>
      </c>
      <c r="Q100" s="4">
        <f>IF(N100=0,0,P100/N100)</f>
        <v/>
      </c>
    </row>
    <row r="101">
      <c r="A101" t="inlineStr">
        <is>
          <t>ORD-1099</t>
        </is>
      </c>
      <c r="B101" s="2" t="n">
        <v>45516</v>
      </c>
      <c r="C101" t="n">
        <v>2024</v>
      </c>
      <c r="D101" t="inlineStr">
        <is>
          <t>Q3</t>
        </is>
      </c>
      <c r="E101" t="inlineStr">
        <is>
          <t>Aug</t>
        </is>
      </c>
      <c r="F101" t="inlineStr">
        <is>
          <t>South</t>
        </is>
      </c>
      <c r="G101" t="inlineStr">
        <is>
          <t>Enterprise</t>
        </is>
      </c>
      <c r="H101" t="inlineStr">
        <is>
          <t>Direct</t>
        </is>
      </c>
      <c r="I101" t="inlineStr">
        <is>
          <t>Services</t>
        </is>
      </c>
      <c r="J101" t="inlineStr">
        <is>
          <t>Training</t>
        </is>
      </c>
      <c r="K101" t="inlineStr">
        <is>
          <t>C. Mehta</t>
        </is>
      </c>
      <c r="L101" t="n">
        <v>8</v>
      </c>
      <c r="M101" s="3" t="n">
        <v>363.51</v>
      </c>
      <c r="N101" s="3">
        <f>L101*M101</f>
        <v/>
      </c>
      <c r="O101" s="3">
        <f>N101*0.285</f>
        <v/>
      </c>
      <c r="P101" s="3">
        <f>N101-O101</f>
        <v/>
      </c>
      <c r="Q101" s="4">
        <f>IF(N101=0,0,P101/N101)</f>
        <v/>
      </c>
    </row>
    <row r="102">
      <c r="A102" t="inlineStr">
        <is>
          <t>ORD-1100</t>
        </is>
      </c>
      <c r="B102" s="2" t="n">
        <v>45574</v>
      </c>
      <c r="C102" t="n">
        <v>2024</v>
      </c>
      <c r="D102" t="inlineStr">
        <is>
          <t>Q4</t>
        </is>
      </c>
      <c r="E102" t="inlineStr">
        <is>
          <t>Oct</t>
        </is>
      </c>
      <c r="F102" t="inlineStr">
        <is>
          <t>North</t>
        </is>
      </c>
      <c r="G102" t="inlineStr">
        <is>
          <t>Mid-Market</t>
        </is>
      </c>
      <c r="H102" t="inlineStr">
        <is>
          <t>Direct</t>
        </is>
      </c>
      <c r="I102" t="inlineStr">
        <is>
          <t>Add-ons</t>
        </is>
      </c>
      <c r="J102" t="inlineStr">
        <is>
          <t>Analytics</t>
        </is>
      </c>
      <c r="K102" t="inlineStr">
        <is>
          <t>F. Shah</t>
        </is>
      </c>
      <c r="L102" t="n">
        <v>15</v>
      </c>
      <c r="M102" s="3" t="n">
        <v>2482.97</v>
      </c>
      <c r="N102" s="3">
        <f>L102*M102</f>
        <v/>
      </c>
      <c r="O102" s="3">
        <f>N102*0.2</f>
        <v/>
      </c>
      <c r="P102" s="3">
        <f>N102-O102</f>
        <v/>
      </c>
      <c r="Q102" s="4">
        <f>IF(N102=0,0,P102/N102)</f>
        <v/>
      </c>
    </row>
    <row r="103">
      <c r="A103" t="inlineStr">
        <is>
          <t>ORD-1101</t>
        </is>
      </c>
      <c r="B103" s="2" t="n">
        <v>45547</v>
      </c>
      <c r="C103" t="n">
        <v>2024</v>
      </c>
      <c r="D103" t="inlineStr">
        <is>
          <t>Q3</t>
        </is>
      </c>
      <c r="E103" t="inlineStr">
        <is>
          <t>Sep</t>
        </is>
      </c>
      <c r="F103" t="inlineStr">
        <is>
          <t>West</t>
        </is>
      </c>
      <c r="G103" t="inlineStr">
        <is>
          <t>Mid-Market</t>
        </is>
      </c>
      <c r="H103" t="inlineStr">
        <is>
          <t>Partner</t>
        </is>
      </c>
      <c r="I103" t="inlineStr">
        <is>
          <t>Services</t>
        </is>
      </c>
      <c r="J103" t="inlineStr">
        <is>
          <t>Training</t>
        </is>
      </c>
      <c r="K103" t="inlineStr">
        <is>
          <t>B. Khan</t>
        </is>
      </c>
      <c r="L103" t="n">
        <v>33</v>
      </c>
      <c r="M103" s="3" t="n">
        <v>1851.91</v>
      </c>
      <c r="N103" s="3">
        <f>L103*M103</f>
        <v/>
      </c>
      <c r="O103" s="3">
        <f>N103*0.313</f>
        <v/>
      </c>
      <c r="P103" s="3">
        <f>N103-O103</f>
        <v/>
      </c>
      <c r="Q103" s="4">
        <f>IF(N103=0,0,P103/N103)</f>
        <v/>
      </c>
    </row>
    <row r="104">
      <c r="A104" t="inlineStr">
        <is>
          <t>ORD-1102</t>
        </is>
      </c>
      <c r="B104" s="2" t="n">
        <v>45366</v>
      </c>
      <c r="C104" t="n">
        <v>2024</v>
      </c>
      <c r="D104" t="inlineStr">
        <is>
          <t>Q1</t>
        </is>
      </c>
      <c r="E104" t="inlineStr">
        <is>
          <t>Mar</t>
        </is>
      </c>
      <c r="F104" t="inlineStr">
        <is>
          <t>South</t>
        </is>
      </c>
      <c r="G104" t="inlineStr">
        <is>
          <t>SMB</t>
        </is>
      </c>
      <c r="H104" t="inlineStr">
        <is>
          <t>Partner</t>
        </is>
      </c>
      <c r="I104" t="inlineStr">
        <is>
          <t>Add-ons</t>
        </is>
      </c>
      <c r="J104" t="inlineStr">
        <is>
          <t>Analytics</t>
        </is>
      </c>
      <c r="K104" t="inlineStr">
        <is>
          <t>D. Iyer</t>
        </is>
      </c>
      <c r="L104" t="n">
        <v>39</v>
      </c>
      <c r="M104" s="3" t="n">
        <v>1418.13</v>
      </c>
      <c r="N104" s="3">
        <f>L104*M104</f>
        <v/>
      </c>
      <c r="O104" s="3">
        <f>N104*0.348</f>
        <v/>
      </c>
      <c r="P104" s="3">
        <f>N104-O104</f>
        <v/>
      </c>
      <c r="Q104" s="4">
        <f>IF(N104=0,0,P104/N104)</f>
        <v/>
      </c>
    </row>
    <row r="105">
      <c r="A105" t="inlineStr">
        <is>
          <t>ORD-1103</t>
        </is>
      </c>
      <c r="B105" s="2" t="n">
        <v>45551</v>
      </c>
      <c r="C105" t="n">
        <v>2024</v>
      </c>
      <c r="D105" t="inlineStr">
        <is>
          <t>Q3</t>
        </is>
      </c>
      <c r="E105" t="inlineStr">
        <is>
          <t>Sep</t>
        </is>
      </c>
      <c r="F105" t="inlineStr">
        <is>
          <t>West</t>
        </is>
      </c>
      <c r="G105" t="inlineStr">
        <is>
          <t>SMB</t>
        </is>
      </c>
      <c r="H105" t="inlineStr">
        <is>
          <t>Partner</t>
        </is>
      </c>
      <c r="I105" t="inlineStr">
        <is>
          <t>Add-ons</t>
        </is>
      </c>
      <c r="J105" t="inlineStr">
        <is>
          <t>Analytics</t>
        </is>
      </c>
      <c r="K105" t="inlineStr">
        <is>
          <t>E. Nair</t>
        </is>
      </c>
      <c r="L105" t="n">
        <v>19</v>
      </c>
      <c r="M105" s="3" t="n">
        <v>1897.31</v>
      </c>
      <c r="N105" s="3">
        <f>L105*M105</f>
        <v/>
      </c>
      <c r="O105" s="3">
        <f>N105*0.305</f>
        <v/>
      </c>
      <c r="P105" s="3">
        <f>N105-O105</f>
        <v/>
      </c>
      <c r="Q105" s="4">
        <f>IF(N105=0,0,P105/N105)</f>
        <v/>
      </c>
    </row>
    <row r="106">
      <c r="A106" t="inlineStr">
        <is>
          <t>ORD-1104</t>
        </is>
      </c>
      <c r="B106" s="2" t="n">
        <v>45462</v>
      </c>
      <c r="C106" t="n">
        <v>2024</v>
      </c>
      <c r="D106" t="inlineStr">
        <is>
          <t>Q2</t>
        </is>
      </c>
      <c r="E106" t="inlineStr">
        <is>
          <t>Jun</t>
        </is>
      </c>
      <c r="F106" t="inlineStr">
        <is>
          <t>South</t>
        </is>
      </c>
      <c r="G106" t="inlineStr">
        <is>
          <t>Enterprise</t>
        </is>
      </c>
      <c r="H106" t="inlineStr">
        <is>
          <t>Direct</t>
        </is>
      </c>
      <c r="I106" t="inlineStr">
        <is>
          <t>Services</t>
        </is>
      </c>
      <c r="J106" t="inlineStr">
        <is>
          <t>Training</t>
        </is>
      </c>
      <c r="K106" t="inlineStr">
        <is>
          <t>E. Nair</t>
        </is>
      </c>
      <c r="L106" t="n">
        <v>30</v>
      </c>
      <c r="M106" s="3" t="n">
        <v>2352.27</v>
      </c>
      <c r="N106" s="3">
        <f>L106*M106</f>
        <v/>
      </c>
      <c r="O106" s="3">
        <f>N106*0.335</f>
        <v/>
      </c>
      <c r="P106" s="3">
        <f>N106-O106</f>
        <v/>
      </c>
      <c r="Q106" s="4">
        <f>IF(N106=0,0,P106/N106)</f>
        <v/>
      </c>
    </row>
    <row r="107">
      <c r="A107" t="inlineStr">
        <is>
          <t>ORD-1105</t>
        </is>
      </c>
      <c r="B107" s="2" t="n">
        <v>45502</v>
      </c>
      <c r="C107" t="n">
        <v>2024</v>
      </c>
      <c r="D107" t="inlineStr">
        <is>
          <t>Q3</t>
        </is>
      </c>
      <c r="E107" t="inlineStr">
        <is>
          <t>Jul</t>
        </is>
      </c>
      <c r="F107" t="inlineStr">
        <is>
          <t>West</t>
        </is>
      </c>
      <c r="G107" t="inlineStr">
        <is>
          <t>Mid-Market</t>
        </is>
      </c>
      <c r="H107" t="inlineStr">
        <is>
          <t>Self-serve</t>
        </is>
      </c>
      <c r="I107" t="inlineStr">
        <is>
          <t>Subscriptions</t>
        </is>
      </c>
      <c r="J107" t="inlineStr">
        <is>
          <t>Pro</t>
        </is>
      </c>
      <c r="K107" t="inlineStr">
        <is>
          <t>F. Shah</t>
        </is>
      </c>
      <c r="L107" t="n">
        <v>48</v>
      </c>
      <c r="M107" s="3" t="n">
        <v>1340.55</v>
      </c>
      <c r="N107" s="3">
        <f>L107*M107</f>
        <v/>
      </c>
      <c r="O107" s="3">
        <f>N107*0.156</f>
        <v/>
      </c>
      <c r="P107" s="3">
        <f>N107-O107</f>
        <v/>
      </c>
      <c r="Q107" s="4">
        <f>IF(N107=0,0,P107/N107)</f>
        <v/>
      </c>
    </row>
    <row r="108">
      <c r="A108" t="inlineStr">
        <is>
          <t>ORD-1106</t>
        </is>
      </c>
      <c r="B108" s="2" t="n">
        <v>45545</v>
      </c>
      <c r="C108" t="n">
        <v>2024</v>
      </c>
      <c r="D108" t="inlineStr">
        <is>
          <t>Q3</t>
        </is>
      </c>
      <c r="E108" t="inlineStr">
        <is>
          <t>Sep</t>
        </is>
      </c>
      <c r="F108" t="inlineStr">
        <is>
          <t>East</t>
        </is>
      </c>
      <c r="G108" t="inlineStr">
        <is>
          <t>SMB</t>
        </is>
      </c>
      <c r="H108" t="inlineStr">
        <is>
          <t>Partner</t>
        </is>
      </c>
      <c r="I108" t="inlineStr">
        <is>
          <t>Subscriptions</t>
        </is>
      </c>
      <c r="J108" t="inlineStr">
        <is>
          <t>Starter</t>
        </is>
      </c>
      <c r="K108" t="inlineStr">
        <is>
          <t>A. Rao</t>
        </is>
      </c>
      <c r="L108" t="n">
        <v>33</v>
      </c>
      <c r="M108" s="3" t="n">
        <v>2423.78</v>
      </c>
      <c r="N108" s="3">
        <f>L108*M108</f>
        <v/>
      </c>
      <c r="O108" s="3">
        <f>N108*0.292</f>
        <v/>
      </c>
      <c r="P108" s="3">
        <f>N108-O108</f>
        <v/>
      </c>
      <c r="Q108" s="4">
        <f>IF(N108=0,0,P108/N108)</f>
        <v/>
      </c>
    </row>
    <row r="109">
      <c r="A109" t="inlineStr">
        <is>
          <t>ORD-1107</t>
        </is>
      </c>
      <c r="B109" s="2" t="n">
        <v>45525</v>
      </c>
      <c r="C109" t="n">
        <v>2024</v>
      </c>
      <c r="D109" t="inlineStr">
        <is>
          <t>Q3</t>
        </is>
      </c>
      <c r="E109" t="inlineStr">
        <is>
          <t>Aug</t>
        </is>
      </c>
      <c r="F109" t="inlineStr">
        <is>
          <t>South</t>
        </is>
      </c>
      <c r="G109" t="inlineStr">
        <is>
          <t>SMB</t>
        </is>
      </c>
      <c r="H109" t="inlineStr">
        <is>
          <t>Partner</t>
        </is>
      </c>
      <c r="I109" t="inlineStr">
        <is>
          <t>Subscriptions</t>
        </is>
      </c>
      <c r="J109" t="inlineStr">
        <is>
          <t>Enterprise</t>
        </is>
      </c>
      <c r="K109" t="inlineStr">
        <is>
          <t>C. Mehta</t>
        </is>
      </c>
      <c r="L109" t="n">
        <v>10</v>
      </c>
      <c r="M109" s="3" t="n">
        <v>1201.95</v>
      </c>
      <c r="N109" s="3">
        <f>L109*M109</f>
        <v/>
      </c>
      <c r="O109" s="3">
        <f>N109*0.348</f>
        <v/>
      </c>
      <c r="P109" s="3">
        <f>N109-O109</f>
        <v/>
      </c>
      <c r="Q109" s="4">
        <f>IF(N109=0,0,P109/N109)</f>
        <v/>
      </c>
    </row>
    <row r="110">
      <c r="A110" t="inlineStr">
        <is>
          <t>ORD-1108</t>
        </is>
      </c>
      <c r="B110" s="2" t="n">
        <v>45646</v>
      </c>
      <c r="C110" t="n">
        <v>2024</v>
      </c>
      <c r="D110" t="inlineStr">
        <is>
          <t>Q4</t>
        </is>
      </c>
      <c r="E110" t="inlineStr">
        <is>
          <t>Dec</t>
        </is>
      </c>
      <c r="F110" t="inlineStr">
        <is>
          <t>West</t>
        </is>
      </c>
      <c r="G110" t="inlineStr">
        <is>
          <t>Mid-Market</t>
        </is>
      </c>
      <c r="H110" t="inlineStr">
        <is>
          <t>Self-serve</t>
        </is>
      </c>
      <c r="I110" t="inlineStr">
        <is>
          <t>Add-ons</t>
        </is>
      </c>
      <c r="J110" t="inlineStr">
        <is>
          <t>Extra Seats</t>
        </is>
      </c>
      <c r="K110" t="inlineStr">
        <is>
          <t>F. Shah</t>
        </is>
      </c>
      <c r="L110" t="n">
        <v>6</v>
      </c>
      <c r="M110" s="3" t="n">
        <v>2173.88</v>
      </c>
      <c r="N110" s="3">
        <f>L110*M110</f>
        <v/>
      </c>
      <c r="O110" s="3">
        <f>N110*0.184</f>
        <v/>
      </c>
      <c r="P110" s="3">
        <f>N110-O110</f>
        <v/>
      </c>
      <c r="Q110" s="4">
        <f>IF(N110=0,0,P110/N110)</f>
        <v/>
      </c>
    </row>
    <row r="111">
      <c r="A111" t="inlineStr">
        <is>
          <t>ORD-1109</t>
        </is>
      </c>
      <c r="B111" s="2" t="n">
        <v>45541</v>
      </c>
      <c r="C111" t="n">
        <v>2024</v>
      </c>
      <c r="D111" t="inlineStr">
        <is>
          <t>Q3</t>
        </is>
      </c>
      <c r="E111" t="inlineStr">
        <is>
          <t>Sep</t>
        </is>
      </c>
      <c r="F111" t="inlineStr">
        <is>
          <t>East</t>
        </is>
      </c>
      <c r="G111" t="inlineStr">
        <is>
          <t>SMB</t>
        </is>
      </c>
      <c r="H111" t="inlineStr">
        <is>
          <t>Self-serve</t>
        </is>
      </c>
      <c r="I111" t="inlineStr">
        <is>
          <t>Services</t>
        </is>
      </c>
      <c r="J111" t="inlineStr">
        <is>
          <t>Onboarding</t>
        </is>
      </c>
      <c r="K111" t="inlineStr">
        <is>
          <t>A. Rao</t>
        </is>
      </c>
      <c r="L111" t="n">
        <v>40</v>
      </c>
      <c r="M111" s="3" t="n">
        <v>450.53</v>
      </c>
      <c r="N111" s="3">
        <f>L111*M111</f>
        <v/>
      </c>
      <c r="O111" s="3">
        <f>N111*0.32</f>
        <v/>
      </c>
      <c r="P111" s="3">
        <f>N111-O111</f>
        <v/>
      </c>
      <c r="Q111" s="4">
        <f>IF(N111=0,0,P111/N111)</f>
        <v/>
      </c>
    </row>
    <row r="112">
      <c r="A112" t="inlineStr">
        <is>
          <t>ORD-1110</t>
        </is>
      </c>
      <c r="B112" s="2" t="n">
        <v>45342</v>
      </c>
      <c r="C112" t="n">
        <v>2024</v>
      </c>
      <c r="D112" t="inlineStr">
        <is>
          <t>Q1</t>
        </is>
      </c>
      <c r="E112" t="inlineStr">
        <is>
          <t>Feb</t>
        </is>
      </c>
      <c r="F112" t="inlineStr">
        <is>
          <t>East</t>
        </is>
      </c>
      <c r="G112" t="inlineStr">
        <is>
          <t>SMB</t>
        </is>
      </c>
      <c r="H112" t="inlineStr">
        <is>
          <t>Direct</t>
        </is>
      </c>
      <c r="I112" t="inlineStr">
        <is>
          <t>Services</t>
        </is>
      </c>
      <c r="J112" t="inlineStr">
        <is>
          <t>Onboarding</t>
        </is>
      </c>
      <c r="K112" t="inlineStr">
        <is>
          <t>C. Mehta</t>
        </is>
      </c>
      <c r="L112" t="n">
        <v>29</v>
      </c>
      <c r="M112" s="3" t="n">
        <v>666</v>
      </c>
      <c r="N112" s="3">
        <f>L112*M112</f>
        <v/>
      </c>
      <c r="O112" s="3">
        <f>N112*0.211</f>
        <v/>
      </c>
      <c r="P112" s="3">
        <f>N112-O112</f>
        <v/>
      </c>
      <c r="Q112" s="4">
        <f>IF(N112=0,0,P112/N112)</f>
        <v/>
      </c>
    </row>
    <row r="113">
      <c r="A113" t="inlineStr">
        <is>
          <t>ORD-1111</t>
        </is>
      </c>
      <c r="B113" s="2" t="n">
        <v>45442</v>
      </c>
      <c r="C113" t="n">
        <v>2024</v>
      </c>
      <c r="D113" t="inlineStr">
        <is>
          <t>Q2</t>
        </is>
      </c>
      <c r="E113" t="inlineStr">
        <is>
          <t>May</t>
        </is>
      </c>
      <c r="F113" t="inlineStr">
        <is>
          <t>West</t>
        </is>
      </c>
      <c r="G113" t="inlineStr">
        <is>
          <t>Enterprise</t>
        </is>
      </c>
      <c r="H113" t="inlineStr">
        <is>
          <t>Self-serve</t>
        </is>
      </c>
      <c r="I113" t="inlineStr">
        <is>
          <t>Add-ons</t>
        </is>
      </c>
      <c r="J113" t="inlineStr">
        <is>
          <t>Support Plus</t>
        </is>
      </c>
      <c r="K113" t="inlineStr">
        <is>
          <t>B. Khan</t>
        </is>
      </c>
      <c r="L113" t="n">
        <v>28</v>
      </c>
      <c r="M113" s="3" t="n">
        <v>620.25</v>
      </c>
      <c r="N113" s="3">
        <f>L113*M113</f>
        <v/>
      </c>
      <c r="O113" s="3">
        <f>N113*0.399</f>
        <v/>
      </c>
      <c r="P113" s="3">
        <f>N113-O113</f>
        <v/>
      </c>
      <c r="Q113" s="4">
        <f>IF(N113=0,0,P113/N113)</f>
        <v/>
      </c>
    </row>
    <row r="114">
      <c r="A114" t="inlineStr">
        <is>
          <t>ORD-1112</t>
        </is>
      </c>
      <c r="B114" s="2" t="n">
        <v>45332</v>
      </c>
      <c r="C114" t="n">
        <v>2024</v>
      </c>
      <c r="D114" t="inlineStr">
        <is>
          <t>Q1</t>
        </is>
      </c>
      <c r="E114" t="inlineStr">
        <is>
          <t>Feb</t>
        </is>
      </c>
      <c r="F114" t="inlineStr">
        <is>
          <t>West</t>
        </is>
      </c>
      <c r="G114" t="inlineStr">
        <is>
          <t>Enterprise</t>
        </is>
      </c>
      <c r="H114" t="inlineStr">
        <is>
          <t>Direct</t>
        </is>
      </c>
      <c r="I114" t="inlineStr">
        <is>
          <t>Services</t>
        </is>
      </c>
      <c r="J114" t="inlineStr">
        <is>
          <t>Training</t>
        </is>
      </c>
      <c r="K114" t="inlineStr">
        <is>
          <t>B. Khan</t>
        </is>
      </c>
      <c r="L114" t="n">
        <v>40</v>
      </c>
      <c r="M114" s="3" t="n">
        <v>1802.9</v>
      </c>
      <c r="N114" s="3">
        <f>L114*M114</f>
        <v/>
      </c>
      <c r="O114" s="3">
        <f>N114*0.312</f>
        <v/>
      </c>
      <c r="P114" s="3">
        <f>N114-O114</f>
        <v/>
      </c>
      <c r="Q114" s="4">
        <f>IF(N114=0,0,P114/N114)</f>
        <v/>
      </c>
    </row>
    <row r="115">
      <c r="A115" t="inlineStr">
        <is>
          <t>ORD-1113</t>
        </is>
      </c>
      <c r="B115" s="2" t="n">
        <v>45422</v>
      </c>
      <c r="C115" t="n">
        <v>2024</v>
      </c>
      <c r="D115" t="inlineStr">
        <is>
          <t>Q2</t>
        </is>
      </c>
      <c r="E115" t="inlineStr">
        <is>
          <t>May</t>
        </is>
      </c>
      <c r="F115" t="inlineStr">
        <is>
          <t>West</t>
        </is>
      </c>
      <c r="G115" t="inlineStr">
        <is>
          <t>Mid-Market</t>
        </is>
      </c>
      <c r="H115" t="inlineStr">
        <is>
          <t>Self-serve</t>
        </is>
      </c>
      <c r="I115" t="inlineStr">
        <is>
          <t>Add-ons</t>
        </is>
      </c>
      <c r="J115" t="inlineStr">
        <is>
          <t>Support Plus</t>
        </is>
      </c>
      <c r="K115" t="inlineStr">
        <is>
          <t>E. Nair</t>
        </is>
      </c>
      <c r="L115" t="n">
        <v>43</v>
      </c>
      <c r="M115" s="3" t="n">
        <v>320.67</v>
      </c>
      <c r="N115" s="3">
        <f>L115*M115</f>
        <v/>
      </c>
      <c r="O115" s="3">
        <f>N115*0.403</f>
        <v/>
      </c>
      <c r="P115" s="3">
        <f>N115-O115</f>
        <v/>
      </c>
      <c r="Q115" s="4">
        <f>IF(N115=0,0,P115/N115)</f>
        <v/>
      </c>
    </row>
    <row r="116">
      <c r="A116" t="inlineStr">
        <is>
          <t>ORD-1114</t>
        </is>
      </c>
      <c r="B116" s="2" t="n">
        <v>45518</v>
      </c>
      <c r="C116" t="n">
        <v>2024</v>
      </c>
      <c r="D116" t="inlineStr">
        <is>
          <t>Q3</t>
        </is>
      </c>
      <c r="E116" t="inlineStr">
        <is>
          <t>Aug</t>
        </is>
      </c>
      <c r="F116" t="inlineStr">
        <is>
          <t>West</t>
        </is>
      </c>
      <c r="G116" t="inlineStr">
        <is>
          <t>Enterprise</t>
        </is>
      </c>
      <c r="H116" t="inlineStr">
        <is>
          <t>Partner</t>
        </is>
      </c>
      <c r="I116" t="inlineStr">
        <is>
          <t>Add-ons</t>
        </is>
      </c>
      <c r="J116" t="inlineStr">
        <is>
          <t>Extra Seats</t>
        </is>
      </c>
      <c r="K116" t="inlineStr">
        <is>
          <t>D. Iyer</t>
        </is>
      </c>
      <c r="L116" t="n">
        <v>20</v>
      </c>
      <c r="M116" s="3" t="n">
        <v>1705.67</v>
      </c>
      <c r="N116" s="3">
        <f>L116*M116</f>
        <v/>
      </c>
      <c r="O116" s="3">
        <f>N116*0.196</f>
        <v/>
      </c>
      <c r="P116" s="3">
        <f>N116-O116</f>
        <v/>
      </c>
      <c r="Q116" s="4">
        <f>IF(N116=0,0,P116/N116)</f>
        <v/>
      </c>
    </row>
    <row r="117">
      <c r="A117" t="inlineStr">
        <is>
          <t>ORD-1115</t>
        </is>
      </c>
      <c r="B117" s="2" t="n">
        <v>45393</v>
      </c>
      <c r="C117" t="n">
        <v>2024</v>
      </c>
      <c r="D117" t="inlineStr">
        <is>
          <t>Q2</t>
        </is>
      </c>
      <c r="E117" t="inlineStr">
        <is>
          <t>Apr</t>
        </is>
      </c>
      <c r="F117" t="inlineStr">
        <is>
          <t>East</t>
        </is>
      </c>
      <c r="G117" t="inlineStr">
        <is>
          <t>Enterprise</t>
        </is>
      </c>
      <c r="H117" t="inlineStr">
        <is>
          <t>Partner</t>
        </is>
      </c>
      <c r="I117" t="inlineStr">
        <is>
          <t>Add-ons</t>
        </is>
      </c>
      <c r="J117" t="inlineStr">
        <is>
          <t>Support Plus</t>
        </is>
      </c>
      <c r="K117" t="inlineStr">
        <is>
          <t>F. Shah</t>
        </is>
      </c>
      <c r="L117" t="n">
        <v>7</v>
      </c>
      <c r="M117" s="3" t="n">
        <v>821.85</v>
      </c>
      <c r="N117" s="3">
        <f>L117*M117</f>
        <v/>
      </c>
      <c r="O117" s="3">
        <f>N117*0.361</f>
        <v/>
      </c>
      <c r="P117" s="3">
        <f>N117-O117</f>
        <v/>
      </c>
      <c r="Q117" s="4">
        <f>IF(N117=0,0,P117/N117)</f>
        <v/>
      </c>
    </row>
    <row r="118">
      <c r="A118" t="inlineStr">
        <is>
          <t>ORD-1116</t>
        </is>
      </c>
      <c r="B118" s="2" t="n">
        <v>45629</v>
      </c>
      <c r="C118" t="n">
        <v>2024</v>
      </c>
      <c r="D118" t="inlineStr">
        <is>
          <t>Q4</t>
        </is>
      </c>
      <c r="E118" t="inlineStr">
        <is>
          <t>Dec</t>
        </is>
      </c>
      <c r="F118" t="inlineStr">
        <is>
          <t>North</t>
        </is>
      </c>
      <c r="G118" t="inlineStr">
        <is>
          <t>Enterprise</t>
        </is>
      </c>
      <c r="H118" t="inlineStr">
        <is>
          <t>Self-serve</t>
        </is>
      </c>
      <c r="I118" t="inlineStr">
        <is>
          <t>Add-ons</t>
        </is>
      </c>
      <c r="J118" t="inlineStr">
        <is>
          <t>Support Plus</t>
        </is>
      </c>
      <c r="K118" t="inlineStr">
        <is>
          <t>D. Iyer</t>
        </is>
      </c>
      <c r="L118" t="n">
        <v>1</v>
      </c>
      <c r="M118" s="3" t="n">
        <v>1545.04</v>
      </c>
      <c r="N118" s="3">
        <f>L118*M118</f>
        <v/>
      </c>
      <c r="O118" s="3">
        <f>N118*0.2</f>
        <v/>
      </c>
      <c r="P118" s="3">
        <f>N118-O118</f>
        <v/>
      </c>
      <c r="Q118" s="4">
        <f>IF(N118=0,0,P118/N118)</f>
        <v/>
      </c>
    </row>
    <row r="119">
      <c r="A119" t="inlineStr">
        <is>
          <t>ORD-1117</t>
        </is>
      </c>
      <c r="B119" s="2" t="n">
        <v>45438</v>
      </c>
      <c r="C119" t="n">
        <v>2024</v>
      </c>
      <c r="D119" t="inlineStr">
        <is>
          <t>Q2</t>
        </is>
      </c>
      <c r="E119" t="inlineStr">
        <is>
          <t>May</t>
        </is>
      </c>
      <c r="F119" t="inlineStr">
        <is>
          <t>South</t>
        </is>
      </c>
      <c r="G119" t="inlineStr">
        <is>
          <t>Enterprise</t>
        </is>
      </c>
      <c r="H119" t="inlineStr">
        <is>
          <t>Partner</t>
        </is>
      </c>
      <c r="I119" t="inlineStr">
        <is>
          <t>Subscriptions</t>
        </is>
      </c>
      <c r="J119" t="inlineStr">
        <is>
          <t>Enterprise</t>
        </is>
      </c>
      <c r="K119" t="inlineStr">
        <is>
          <t>F. Shah</t>
        </is>
      </c>
      <c r="L119" t="n">
        <v>23</v>
      </c>
      <c r="M119" s="3" t="n">
        <v>781.8099999999999</v>
      </c>
      <c r="N119" s="3">
        <f>L119*M119</f>
        <v/>
      </c>
      <c r="O119" s="3">
        <f>N119*0.223</f>
        <v/>
      </c>
      <c r="P119" s="3">
        <f>N119-O119</f>
        <v/>
      </c>
      <c r="Q119" s="4">
        <f>IF(N119=0,0,P119/N119)</f>
        <v/>
      </c>
    </row>
    <row r="120">
      <c r="A120" t="inlineStr">
        <is>
          <t>ORD-1118</t>
        </is>
      </c>
      <c r="B120" s="2" t="n">
        <v>45629</v>
      </c>
      <c r="C120" t="n">
        <v>2024</v>
      </c>
      <c r="D120" t="inlineStr">
        <is>
          <t>Q4</t>
        </is>
      </c>
      <c r="E120" t="inlineStr">
        <is>
          <t>Dec</t>
        </is>
      </c>
      <c r="F120" t="inlineStr">
        <is>
          <t>North</t>
        </is>
      </c>
      <c r="G120" t="inlineStr">
        <is>
          <t>Mid-Market</t>
        </is>
      </c>
      <c r="H120" t="inlineStr">
        <is>
          <t>Partner</t>
        </is>
      </c>
      <c r="I120" t="inlineStr">
        <is>
          <t>Services</t>
        </is>
      </c>
      <c r="J120" t="inlineStr">
        <is>
          <t>Onboarding</t>
        </is>
      </c>
      <c r="K120" t="inlineStr">
        <is>
          <t>A. Rao</t>
        </is>
      </c>
      <c r="L120" t="n">
        <v>41</v>
      </c>
      <c r="M120" s="3" t="n">
        <v>513.76</v>
      </c>
      <c r="N120" s="3">
        <f>L120*M120</f>
        <v/>
      </c>
      <c r="O120" s="3">
        <f>N120*0.276</f>
        <v/>
      </c>
      <c r="P120" s="3">
        <f>N120-O120</f>
        <v/>
      </c>
      <c r="Q120" s="4">
        <f>IF(N120=0,0,P120/N120)</f>
        <v/>
      </c>
    </row>
    <row r="121">
      <c r="A121" t="inlineStr">
        <is>
          <t>ORD-1119</t>
        </is>
      </c>
      <c r="B121" s="2" t="n">
        <v>45359</v>
      </c>
      <c r="C121" t="n">
        <v>2024</v>
      </c>
      <c r="D121" t="inlineStr">
        <is>
          <t>Q1</t>
        </is>
      </c>
      <c r="E121" t="inlineStr">
        <is>
          <t>Mar</t>
        </is>
      </c>
      <c r="F121" t="inlineStr">
        <is>
          <t>South</t>
        </is>
      </c>
      <c r="G121" t="inlineStr">
        <is>
          <t>SMB</t>
        </is>
      </c>
      <c r="H121" t="inlineStr">
        <is>
          <t>Direct</t>
        </is>
      </c>
      <c r="I121" t="inlineStr">
        <is>
          <t>Subscriptions</t>
        </is>
      </c>
      <c r="J121" t="inlineStr">
        <is>
          <t>Pro</t>
        </is>
      </c>
      <c r="K121" t="inlineStr">
        <is>
          <t>E. Nair</t>
        </is>
      </c>
      <c r="L121" t="n">
        <v>21</v>
      </c>
      <c r="M121" s="3" t="n">
        <v>1944.46</v>
      </c>
      <c r="N121" s="3">
        <f>L121*M121</f>
        <v/>
      </c>
      <c r="O121" s="3">
        <f>N121*0.187</f>
        <v/>
      </c>
      <c r="P121" s="3">
        <f>N121-O121</f>
        <v/>
      </c>
      <c r="Q121" s="4">
        <f>IF(N121=0,0,P121/N121)</f>
        <v/>
      </c>
    </row>
    <row r="122">
      <c r="A122" t="inlineStr">
        <is>
          <t>ORD-1120</t>
        </is>
      </c>
      <c r="B122" s="2" t="n">
        <v>45479</v>
      </c>
      <c r="C122" t="n">
        <v>2024</v>
      </c>
      <c r="D122" t="inlineStr">
        <is>
          <t>Q3</t>
        </is>
      </c>
      <c r="E122" t="inlineStr">
        <is>
          <t>Jul</t>
        </is>
      </c>
      <c r="F122" t="inlineStr">
        <is>
          <t>West</t>
        </is>
      </c>
      <c r="G122" t="inlineStr">
        <is>
          <t>Mid-Market</t>
        </is>
      </c>
      <c r="H122" t="inlineStr">
        <is>
          <t>Self-serve</t>
        </is>
      </c>
      <c r="I122" t="inlineStr">
        <is>
          <t>Services</t>
        </is>
      </c>
      <c r="J122" t="inlineStr">
        <is>
          <t>Training</t>
        </is>
      </c>
      <c r="K122" t="inlineStr">
        <is>
          <t>C. Mehta</t>
        </is>
      </c>
      <c r="L122" t="n">
        <v>11</v>
      </c>
      <c r="M122" s="3" t="n">
        <v>865.33</v>
      </c>
      <c r="N122" s="3">
        <f>L122*M122</f>
        <v/>
      </c>
      <c r="O122" s="3">
        <f>N122*0.209</f>
        <v/>
      </c>
      <c r="P122" s="3">
        <f>N122-O122</f>
        <v/>
      </c>
      <c r="Q122" s="4">
        <f>IF(N122=0,0,P122/N122)</f>
        <v/>
      </c>
    </row>
    <row r="123">
      <c r="A123" t="inlineStr">
        <is>
          <t>ORD-1121</t>
        </is>
      </c>
      <c r="B123" s="2" t="n">
        <v>45531</v>
      </c>
      <c r="C123" t="n">
        <v>2024</v>
      </c>
      <c r="D123" t="inlineStr">
        <is>
          <t>Q3</t>
        </is>
      </c>
      <c r="E123" t="inlineStr">
        <is>
          <t>Aug</t>
        </is>
      </c>
      <c r="F123" t="inlineStr">
        <is>
          <t>West</t>
        </is>
      </c>
      <c r="G123" t="inlineStr">
        <is>
          <t>Enterprise</t>
        </is>
      </c>
      <c r="H123" t="inlineStr">
        <is>
          <t>Partner</t>
        </is>
      </c>
      <c r="I123" t="inlineStr">
        <is>
          <t>Subscriptions</t>
        </is>
      </c>
      <c r="J123" t="inlineStr">
        <is>
          <t>Starter</t>
        </is>
      </c>
      <c r="K123" t="inlineStr">
        <is>
          <t>A. Rao</t>
        </is>
      </c>
      <c r="L123" t="n">
        <v>49</v>
      </c>
      <c r="M123" s="3" t="n">
        <v>2426.3</v>
      </c>
      <c r="N123" s="3">
        <f>L123*M123</f>
        <v/>
      </c>
      <c r="O123" s="3">
        <f>N123*0.213</f>
        <v/>
      </c>
      <c r="P123" s="3">
        <f>N123-O123</f>
        <v/>
      </c>
      <c r="Q123" s="4">
        <f>IF(N123=0,0,P123/N123)</f>
        <v/>
      </c>
    </row>
    <row r="124">
      <c r="A124" t="inlineStr">
        <is>
          <t>ORD-1122</t>
        </is>
      </c>
      <c r="B124" s="2" t="n">
        <v>45299</v>
      </c>
      <c r="C124" t="n">
        <v>2024</v>
      </c>
      <c r="D124" t="inlineStr">
        <is>
          <t>Q1</t>
        </is>
      </c>
      <c r="E124" t="inlineStr">
        <is>
          <t>Jan</t>
        </is>
      </c>
      <c r="F124" t="inlineStr">
        <is>
          <t>East</t>
        </is>
      </c>
      <c r="G124" t="inlineStr">
        <is>
          <t>Enterprise</t>
        </is>
      </c>
      <c r="H124" t="inlineStr">
        <is>
          <t>Partner</t>
        </is>
      </c>
      <c r="I124" t="inlineStr">
        <is>
          <t>Add-ons</t>
        </is>
      </c>
      <c r="J124" t="inlineStr">
        <is>
          <t>Extra Seats</t>
        </is>
      </c>
      <c r="K124" t="inlineStr">
        <is>
          <t>F. Shah</t>
        </is>
      </c>
      <c r="L124" t="n">
        <v>8</v>
      </c>
      <c r="M124" s="3" t="n">
        <v>1300.53</v>
      </c>
      <c r="N124" s="3">
        <f>L124*M124</f>
        <v/>
      </c>
      <c r="O124" s="3">
        <f>N124*0.168</f>
        <v/>
      </c>
      <c r="P124" s="3">
        <f>N124-O124</f>
        <v/>
      </c>
      <c r="Q124" s="4">
        <f>IF(N124=0,0,P124/N124)</f>
        <v/>
      </c>
    </row>
    <row r="125">
      <c r="A125" t="inlineStr">
        <is>
          <t>ORD-1123</t>
        </is>
      </c>
      <c r="B125" s="2" t="n">
        <v>45347</v>
      </c>
      <c r="C125" t="n">
        <v>2024</v>
      </c>
      <c r="D125" t="inlineStr">
        <is>
          <t>Q1</t>
        </is>
      </c>
      <c r="E125" t="inlineStr">
        <is>
          <t>Feb</t>
        </is>
      </c>
      <c r="F125" t="inlineStr">
        <is>
          <t>East</t>
        </is>
      </c>
      <c r="G125" t="inlineStr">
        <is>
          <t>Enterprise</t>
        </is>
      </c>
      <c r="H125" t="inlineStr">
        <is>
          <t>Direct</t>
        </is>
      </c>
      <c r="I125" t="inlineStr">
        <is>
          <t>Services</t>
        </is>
      </c>
      <c r="J125" t="inlineStr">
        <is>
          <t>Onboarding</t>
        </is>
      </c>
      <c r="K125" t="inlineStr">
        <is>
          <t>F. Shah</t>
        </is>
      </c>
      <c r="L125" t="n">
        <v>31</v>
      </c>
      <c r="M125" s="3" t="n">
        <v>355.05</v>
      </c>
      <c r="N125" s="3">
        <f>L125*M125</f>
        <v/>
      </c>
      <c r="O125" s="3">
        <f>N125*0.431</f>
        <v/>
      </c>
      <c r="P125" s="3">
        <f>N125-O125</f>
        <v/>
      </c>
      <c r="Q125" s="4">
        <f>IF(N125=0,0,P125/N125)</f>
        <v/>
      </c>
    </row>
    <row r="126">
      <c r="A126" t="inlineStr">
        <is>
          <t>ORD-1124</t>
        </is>
      </c>
      <c r="B126" s="2" t="n">
        <v>45529</v>
      </c>
      <c r="C126" t="n">
        <v>2024</v>
      </c>
      <c r="D126" t="inlineStr">
        <is>
          <t>Q3</t>
        </is>
      </c>
      <c r="E126" t="inlineStr">
        <is>
          <t>Aug</t>
        </is>
      </c>
      <c r="F126" t="inlineStr">
        <is>
          <t>South</t>
        </is>
      </c>
      <c r="G126" t="inlineStr">
        <is>
          <t>SMB</t>
        </is>
      </c>
      <c r="H126" t="inlineStr">
        <is>
          <t>Direct</t>
        </is>
      </c>
      <c r="I126" t="inlineStr">
        <is>
          <t>Services</t>
        </is>
      </c>
      <c r="J126" t="inlineStr">
        <is>
          <t>Training</t>
        </is>
      </c>
      <c r="K126" t="inlineStr">
        <is>
          <t>C. Mehta</t>
        </is>
      </c>
      <c r="L126" t="n">
        <v>42</v>
      </c>
      <c r="M126" s="3" t="n">
        <v>1198.25</v>
      </c>
      <c r="N126" s="3">
        <f>L126*M126</f>
        <v/>
      </c>
      <c r="O126" s="3">
        <f>N126*0.151</f>
        <v/>
      </c>
      <c r="P126" s="3">
        <f>N126-O126</f>
        <v/>
      </c>
      <c r="Q126" s="4">
        <f>IF(N126=0,0,P126/N126)</f>
        <v/>
      </c>
    </row>
    <row r="127">
      <c r="A127" t="inlineStr">
        <is>
          <t>ORD-1125</t>
        </is>
      </c>
      <c r="B127" s="2" t="n">
        <v>45351</v>
      </c>
      <c r="C127" t="n">
        <v>2024</v>
      </c>
      <c r="D127" t="inlineStr">
        <is>
          <t>Q1</t>
        </is>
      </c>
      <c r="E127" t="inlineStr">
        <is>
          <t>Feb</t>
        </is>
      </c>
      <c r="F127" t="inlineStr">
        <is>
          <t>West</t>
        </is>
      </c>
      <c r="G127" t="inlineStr">
        <is>
          <t>Mid-Market</t>
        </is>
      </c>
      <c r="H127" t="inlineStr">
        <is>
          <t>Self-serve</t>
        </is>
      </c>
      <c r="I127" t="inlineStr">
        <is>
          <t>Subscriptions</t>
        </is>
      </c>
      <c r="J127" t="inlineStr">
        <is>
          <t>Starter</t>
        </is>
      </c>
      <c r="K127" t="inlineStr">
        <is>
          <t>F. Shah</t>
        </is>
      </c>
      <c r="L127" t="n">
        <v>35</v>
      </c>
      <c r="M127" s="3" t="n">
        <v>598.46</v>
      </c>
      <c r="N127" s="3">
        <f>L127*M127</f>
        <v/>
      </c>
      <c r="O127" s="3">
        <f>N127*0.241</f>
        <v/>
      </c>
      <c r="P127" s="3">
        <f>N127-O127</f>
        <v/>
      </c>
      <c r="Q127" s="4">
        <f>IF(N127=0,0,P127/N127)</f>
        <v/>
      </c>
    </row>
    <row r="128">
      <c r="A128" t="inlineStr">
        <is>
          <t>ORD-1126</t>
        </is>
      </c>
      <c r="B128" s="2" t="n">
        <v>45568</v>
      </c>
      <c r="C128" t="n">
        <v>2024</v>
      </c>
      <c r="D128" t="inlineStr">
        <is>
          <t>Q4</t>
        </is>
      </c>
      <c r="E128" t="inlineStr">
        <is>
          <t>Oct</t>
        </is>
      </c>
      <c r="F128" t="inlineStr">
        <is>
          <t>West</t>
        </is>
      </c>
      <c r="G128" t="inlineStr">
        <is>
          <t>Enterprise</t>
        </is>
      </c>
      <c r="H128" t="inlineStr">
        <is>
          <t>Direct</t>
        </is>
      </c>
      <c r="I128" t="inlineStr">
        <is>
          <t>Add-ons</t>
        </is>
      </c>
      <c r="J128" t="inlineStr">
        <is>
          <t>Extra Seats</t>
        </is>
      </c>
      <c r="K128" t="inlineStr">
        <is>
          <t>D. Iyer</t>
        </is>
      </c>
      <c r="L128" t="n">
        <v>48</v>
      </c>
      <c r="M128" s="3" t="n">
        <v>1898.52</v>
      </c>
      <c r="N128" s="3">
        <f>L128*M128</f>
        <v/>
      </c>
      <c r="O128" s="3">
        <f>N128*0.265</f>
        <v/>
      </c>
      <c r="P128" s="3">
        <f>N128-O128</f>
        <v/>
      </c>
      <c r="Q128" s="4">
        <f>IF(N128=0,0,P128/N128)</f>
        <v/>
      </c>
    </row>
    <row r="129">
      <c r="A129" t="inlineStr">
        <is>
          <t>ORD-1127</t>
        </is>
      </c>
      <c r="B129" s="2" t="n">
        <v>45435</v>
      </c>
      <c r="C129" t="n">
        <v>2024</v>
      </c>
      <c r="D129" t="inlineStr">
        <is>
          <t>Q2</t>
        </is>
      </c>
      <c r="E129" t="inlineStr">
        <is>
          <t>May</t>
        </is>
      </c>
      <c r="F129" t="inlineStr">
        <is>
          <t>West</t>
        </is>
      </c>
      <c r="G129" t="inlineStr">
        <is>
          <t>SMB</t>
        </is>
      </c>
      <c r="H129" t="inlineStr">
        <is>
          <t>Partner</t>
        </is>
      </c>
      <c r="I129" t="inlineStr">
        <is>
          <t>Subscriptions</t>
        </is>
      </c>
      <c r="J129" t="inlineStr">
        <is>
          <t>Enterprise</t>
        </is>
      </c>
      <c r="K129" t="inlineStr">
        <is>
          <t>A. Rao</t>
        </is>
      </c>
      <c r="L129" t="n">
        <v>24</v>
      </c>
      <c r="M129" s="3" t="n">
        <v>777.99</v>
      </c>
      <c r="N129" s="3">
        <f>L129*M129</f>
        <v/>
      </c>
      <c r="O129" s="3">
        <f>N129*0.156</f>
        <v/>
      </c>
      <c r="P129" s="3">
        <f>N129-O129</f>
        <v/>
      </c>
      <c r="Q129" s="4">
        <f>IF(N129=0,0,P129/N129)</f>
        <v/>
      </c>
    </row>
    <row r="130">
      <c r="A130" t="inlineStr">
        <is>
          <t>ORD-1128</t>
        </is>
      </c>
      <c r="B130" s="2" t="n">
        <v>45480</v>
      </c>
      <c r="C130" t="n">
        <v>2024</v>
      </c>
      <c r="D130" t="inlineStr">
        <is>
          <t>Q3</t>
        </is>
      </c>
      <c r="E130" t="inlineStr">
        <is>
          <t>Jul</t>
        </is>
      </c>
      <c r="F130" t="inlineStr">
        <is>
          <t>South</t>
        </is>
      </c>
      <c r="G130" t="inlineStr">
        <is>
          <t>SMB</t>
        </is>
      </c>
      <c r="H130" t="inlineStr">
        <is>
          <t>Partner</t>
        </is>
      </c>
      <c r="I130" t="inlineStr">
        <is>
          <t>Services</t>
        </is>
      </c>
      <c r="J130" t="inlineStr">
        <is>
          <t>Training</t>
        </is>
      </c>
      <c r="K130" t="inlineStr">
        <is>
          <t>A. Rao</t>
        </is>
      </c>
      <c r="L130" t="n">
        <v>4</v>
      </c>
      <c r="M130" s="3" t="n">
        <v>1175.91</v>
      </c>
      <c r="N130" s="3">
        <f>L130*M130</f>
        <v/>
      </c>
      <c r="O130" s="3">
        <f>N130*0.251</f>
        <v/>
      </c>
      <c r="P130" s="3">
        <f>N130-O130</f>
        <v/>
      </c>
      <c r="Q130" s="4">
        <f>IF(N130=0,0,P130/N130)</f>
        <v/>
      </c>
    </row>
    <row r="131">
      <c r="A131" t="inlineStr">
        <is>
          <t>ORD-1129</t>
        </is>
      </c>
      <c r="B131" s="2" t="n">
        <v>45620</v>
      </c>
      <c r="C131" t="n">
        <v>2024</v>
      </c>
      <c r="D131" t="inlineStr">
        <is>
          <t>Q4</t>
        </is>
      </c>
      <c r="E131" t="inlineStr">
        <is>
          <t>Nov</t>
        </is>
      </c>
      <c r="F131" t="inlineStr">
        <is>
          <t>South</t>
        </is>
      </c>
      <c r="G131" t="inlineStr">
        <is>
          <t>SMB</t>
        </is>
      </c>
      <c r="H131" t="inlineStr">
        <is>
          <t>Self-serve</t>
        </is>
      </c>
      <c r="I131" t="inlineStr">
        <is>
          <t>Services</t>
        </is>
      </c>
      <c r="J131" t="inlineStr">
        <is>
          <t>Onboarding</t>
        </is>
      </c>
      <c r="K131" t="inlineStr">
        <is>
          <t>B. Khan</t>
        </is>
      </c>
      <c r="L131" t="n">
        <v>4</v>
      </c>
      <c r="M131" s="3" t="n">
        <v>2030.95</v>
      </c>
      <c r="N131" s="3">
        <f>L131*M131</f>
        <v/>
      </c>
      <c r="O131" s="3">
        <f>N131*0.429</f>
        <v/>
      </c>
      <c r="P131" s="3">
        <f>N131-O131</f>
        <v/>
      </c>
      <c r="Q131" s="4">
        <f>IF(N131=0,0,P131/N131)</f>
        <v/>
      </c>
    </row>
    <row r="132">
      <c r="A132" t="inlineStr">
        <is>
          <t>ORD-1130</t>
        </is>
      </c>
      <c r="B132" s="2" t="n">
        <v>45575</v>
      </c>
      <c r="C132" t="n">
        <v>2024</v>
      </c>
      <c r="D132" t="inlineStr">
        <is>
          <t>Q4</t>
        </is>
      </c>
      <c r="E132" t="inlineStr">
        <is>
          <t>Oct</t>
        </is>
      </c>
      <c r="F132" t="inlineStr">
        <is>
          <t>South</t>
        </is>
      </c>
      <c r="G132" t="inlineStr">
        <is>
          <t>Mid-Market</t>
        </is>
      </c>
      <c r="H132" t="inlineStr">
        <is>
          <t>Direct</t>
        </is>
      </c>
      <c r="I132" t="inlineStr">
        <is>
          <t>Subscriptions</t>
        </is>
      </c>
      <c r="J132" t="inlineStr">
        <is>
          <t>Enterprise</t>
        </is>
      </c>
      <c r="K132" t="inlineStr">
        <is>
          <t>E. Nair</t>
        </is>
      </c>
      <c r="L132" t="n">
        <v>14</v>
      </c>
      <c r="M132" s="3" t="n">
        <v>2088.72</v>
      </c>
      <c r="N132" s="3">
        <f>L132*M132</f>
        <v/>
      </c>
      <c r="O132" s="3">
        <f>N132*0.449</f>
        <v/>
      </c>
      <c r="P132" s="3">
        <f>N132-O132</f>
        <v/>
      </c>
      <c r="Q132" s="4">
        <f>IF(N132=0,0,P132/N132)</f>
        <v/>
      </c>
    </row>
    <row r="133">
      <c r="A133" t="inlineStr">
        <is>
          <t>ORD-1131</t>
        </is>
      </c>
      <c r="B133" s="2" t="n">
        <v>45366</v>
      </c>
      <c r="C133" t="n">
        <v>2024</v>
      </c>
      <c r="D133" t="inlineStr">
        <is>
          <t>Q1</t>
        </is>
      </c>
      <c r="E133" t="inlineStr">
        <is>
          <t>Mar</t>
        </is>
      </c>
      <c r="F133" t="inlineStr">
        <is>
          <t>North</t>
        </is>
      </c>
      <c r="G133" t="inlineStr">
        <is>
          <t>Enterprise</t>
        </is>
      </c>
      <c r="H133" t="inlineStr">
        <is>
          <t>Direct</t>
        </is>
      </c>
      <c r="I133" t="inlineStr">
        <is>
          <t>Subscriptions</t>
        </is>
      </c>
      <c r="J133" t="inlineStr">
        <is>
          <t>Enterprise</t>
        </is>
      </c>
      <c r="K133" t="inlineStr">
        <is>
          <t>B. Khan</t>
        </is>
      </c>
      <c r="L133" t="n">
        <v>17</v>
      </c>
      <c r="M133" s="3" t="n">
        <v>2056.73</v>
      </c>
      <c r="N133" s="3">
        <f>L133*M133</f>
        <v/>
      </c>
      <c r="O133" s="3">
        <f>N133*0.446</f>
        <v/>
      </c>
      <c r="P133" s="3">
        <f>N133-O133</f>
        <v/>
      </c>
      <c r="Q133" s="4">
        <f>IF(N133=0,0,P133/N133)</f>
        <v/>
      </c>
    </row>
    <row r="134">
      <c r="A134" t="inlineStr">
        <is>
          <t>ORD-1132</t>
        </is>
      </c>
      <c r="B134" s="2" t="n">
        <v>45413</v>
      </c>
      <c r="C134" t="n">
        <v>2024</v>
      </c>
      <c r="D134" t="inlineStr">
        <is>
          <t>Q2</t>
        </is>
      </c>
      <c r="E134" t="inlineStr">
        <is>
          <t>May</t>
        </is>
      </c>
      <c r="F134" t="inlineStr">
        <is>
          <t>North</t>
        </is>
      </c>
      <c r="G134" t="inlineStr">
        <is>
          <t>SMB</t>
        </is>
      </c>
      <c r="H134" t="inlineStr">
        <is>
          <t>Self-serve</t>
        </is>
      </c>
      <c r="I134" t="inlineStr">
        <is>
          <t>Services</t>
        </is>
      </c>
      <c r="J134" t="inlineStr">
        <is>
          <t>Training</t>
        </is>
      </c>
      <c r="K134" t="inlineStr">
        <is>
          <t>D. Iyer</t>
        </is>
      </c>
      <c r="L134" t="n">
        <v>2</v>
      </c>
      <c r="M134" s="3" t="n">
        <v>683.34</v>
      </c>
      <c r="N134" s="3">
        <f>L134*M134</f>
        <v/>
      </c>
      <c r="O134" s="3">
        <f>N134*0.292</f>
        <v/>
      </c>
      <c r="P134" s="3">
        <f>N134-O134</f>
        <v/>
      </c>
      <c r="Q134" s="4">
        <f>IF(N134=0,0,P134/N134)</f>
        <v/>
      </c>
    </row>
    <row r="135">
      <c r="A135" t="inlineStr">
        <is>
          <t>ORD-1133</t>
        </is>
      </c>
      <c r="B135" s="2" t="n">
        <v>45324</v>
      </c>
      <c r="C135" t="n">
        <v>2024</v>
      </c>
      <c r="D135" t="inlineStr">
        <is>
          <t>Q1</t>
        </is>
      </c>
      <c r="E135" t="inlineStr">
        <is>
          <t>Feb</t>
        </is>
      </c>
      <c r="F135" t="inlineStr">
        <is>
          <t>North</t>
        </is>
      </c>
      <c r="G135" t="inlineStr">
        <is>
          <t>Mid-Market</t>
        </is>
      </c>
      <c r="H135" t="inlineStr">
        <is>
          <t>Self-serve</t>
        </is>
      </c>
      <c r="I135" t="inlineStr">
        <is>
          <t>Add-ons</t>
        </is>
      </c>
      <c r="J135" t="inlineStr">
        <is>
          <t>Support Plus</t>
        </is>
      </c>
      <c r="K135" t="inlineStr">
        <is>
          <t>B. Khan</t>
        </is>
      </c>
      <c r="L135" t="n">
        <v>50</v>
      </c>
      <c r="M135" s="3" t="n">
        <v>1096.49</v>
      </c>
      <c r="N135" s="3">
        <f>L135*M135</f>
        <v/>
      </c>
      <c r="O135" s="3">
        <f>N135*0.166</f>
        <v/>
      </c>
      <c r="P135" s="3">
        <f>N135-O135</f>
        <v/>
      </c>
      <c r="Q135" s="4">
        <f>IF(N135=0,0,P135/N135)</f>
        <v/>
      </c>
    </row>
    <row r="136">
      <c r="A136" t="inlineStr">
        <is>
          <t>ORD-1134</t>
        </is>
      </c>
      <c r="B136" s="2" t="n">
        <v>45314</v>
      </c>
      <c r="C136" t="n">
        <v>2024</v>
      </c>
      <c r="D136" t="inlineStr">
        <is>
          <t>Q1</t>
        </is>
      </c>
      <c r="E136" t="inlineStr">
        <is>
          <t>Jan</t>
        </is>
      </c>
      <c r="F136" t="inlineStr">
        <is>
          <t>North</t>
        </is>
      </c>
      <c r="G136" t="inlineStr">
        <is>
          <t>SMB</t>
        </is>
      </c>
      <c r="H136" t="inlineStr">
        <is>
          <t>Partner</t>
        </is>
      </c>
      <c r="I136" t="inlineStr">
        <is>
          <t>Services</t>
        </is>
      </c>
      <c r="J136" t="inlineStr">
        <is>
          <t>Training</t>
        </is>
      </c>
      <c r="K136" t="inlineStr">
        <is>
          <t>D. Iyer</t>
        </is>
      </c>
      <c r="L136" t="n">
        <v>30</v>
      </c>
      <c r="M136" s="3" t="n">
        <v>1715.35</v>
      </c>
      <c r="N136" s="3">
        <f>L136*M136</f>
        <v/>
      </c>
      <c r="O136" s="3">
        <f>N136*0.322</f>
        <v/>
      </c>
      <c r="P136" s="3">
        <f>N136-O136</f>
        <v/>
      </c>
      <c r="Q136" s="4">
        <f>IF(N136=0,0,P136/N136)</f>
        <v/>
      </c>
    </row>
    <row r="137">
      <c r="A137" t="inlineStr">
        <is>
          <t>ORD-1135</t>
        </is>
      </c>
      <c r="B137" s="2" t="n">
        <v>45347</v>
      </c>
      <c r="C137" t="n">
        <v>2024</v>
      </c>
      <c r="D137" t="inlineStr">
        <is>
          <t>Q1</t>
        </is>
      </c>
      <c r="E137" t="inlineStr">
        <is>
          <t>Feb</t>
        </is>
      </c>
      <c r="F137" t="inlineStr">
        <is>
          <t>North</t>
        </is>
      </c>
      <c r="G137" t="inlineStr">
        <is>
          <t>Mid-Market</t>
        </is>
      </c>
      <c r="H137" t="inlineStr">
        <is>
          <t>Self-serve</t>
        </is>
      </c>
      <c r="I137" t="inlineStr">
        <is>
          <t>Add-ons</t>
        </is>
      </c>
      <c r="J137" t="inlineStr">
        <is>
          <t>Extra Seats</t>
        </is>
      </c>
      <c r="K137" t="inlineStr">
        <is>
          <t>B. Khan</t>
        </is>
      </c>
      <c r="L137" t="n">
        <v>29</v>
      </c>
      <c r="M137" s="3" t="n">
        <v>461.68</v>
      </c>
      <c r="N137" s="3">
        <f>L137*M137</f>
        <v/>
      </c>
      <c r="O137" s="3">
        <f>N137*0.43</f>
        <v/>
      </c>
      <c r="P137" s="3">
        <f>N137-O137</f>
        <v/>
      </c>
      <c r="Q137" s="4">
        <f>IF(N137=0,0,P137/N137)</f>
        <v/>
      </c>
    </row>
    <row r="138">
      <c r="A138" t="inlineStr">
        <is>
          <t>ORD-1136</t>
        </is>
      </c>
      <c r="B138" s="2" t="n">
        <v>45432</v>
      </c>
      <c r="C138" t="n">
        <v>2024</v>
      </c>
      <c r="D138" t="inlineStr">
        <is>
          <t>Q2</t>
        </is>
      </c>
      <c r="E138" t="inlineStr">
        <is>
          <t>May</t>
        </is>
      </c>
      <c r="F138" t="inlineStr">
        <is>
          <t>East</t>
        </is>
      </c>
      <c r="G138" t="inlineStr">
        <is>
          <t>Mid-Market</t>
        </is>
      </c>
      <c r="H138" t="inlineStr">
        <is>
          <t>Self-serve</t>
        </is>
      </c>
      <c r="I138" t="inlineStr">
        <is>
          <t>Services</t>
        </is>
      </c>
      <c r="J138" t="inlineStr">
        <is>
          <t>Training</t>
        </is>
      </c>
      <c r="K138" t="inlineStr">
        <is>
          <t>E. Nair</t>
        </is>
      </c>
      <c r="L138" t="n">
        <v>25</v>
      </c>
      <c r="M138" s="3" t="n">
        <v>2488.18</v>
      </c>
      <c r="N138" s="3">
        <f>L138*M138</f>
        <v/>
      </c>
      <c r="O138" s="3">
        <f>N138*0.321</f>
        <v/>
      </c>
      <c r="P138" s="3">
        <f>N138-O138</f>
        <v/>
      </c>
      <c r="Q138" s="4">
        <f>IF(N138=0,0,P138/N138)</f>
        <v/>
      </c>
    </row>
    <row r="139">
      <c r="A139" t="inlineStr">
        <is>
          <t>ORD-1137</t>
        </is>
      </c>
      <c r="B139" s="2" t="n">
        <v>45651</v>
      </c>
      <c r="C139" t="n">
        <v>2024</v>
      </c>
      <c r="D139" t="inlineStr">
        <is>
          <t>Q4</t>
        </is>
      </c>
      <c r="E139" t="inlineStr">
        <is>
          <t>Dec</t>
        </is>
      </c>
      <c r="F139" t="inlineStr">
        <is>
          <t>South</t>
        </is>
      </c>
      <c r="G139" t="inlineStr">
        <is>
          <t>Mid-Market</t>
        </is>
      </c>
      <c r="H139" t="inlineStr">
        <is>
          <t>Partner</t>
        </is>
      </c>
      <c r="I139" t="inlineStr">
        <is>
          <t>Subscriptions</t>
        </is>
      </c>
      <c r="J139" t="inlineStr">
        <is>
          <t>Enterprise</t>
        </is>
      </c>
      <c r="K139" t="inlineStr">
        <is>
          <t>B. Khan</t>
        </is>
      </c>
      <c r="L139" t="n">
        <v>42</v>
      </c>
      <c r="M139" s="3" t="n">
        <v>2230.95</v>
      </c>
      <c r="N139" s="3">
        <f>L139*M139</f>
        <v/>
      </c>
      <c r="O139" s="3">
        <f>N139*0.326</f>
        <v/>
      </c>
      <c r="P139" s="3">
        <f>N139-O139</f>
        <v/>
      </c>
      <c r="Q139" s="4">
        <f>IF(N139=0,0,P139/N139)</f>
        <v/>
      </c>
    </row>
    <row r="140">
      <c r="A140" t="inlineStr">
        <is>
          <t>ORD-1138</t>
        </is>
      </c>
      <c r="B140" s="2" t="n">
        <v>45524</v>
      </c>
      <c r="C140" t="n">
        <v>2024</v>
      </c>
      <c r="D140" t="inlineStr">
        <is>
          <t>Q3</t>
        </is>
      </c>
      <c r="E140" t="inlineStr">
        <is>
          <t>Aug</t>
        </is>
      </c>
      <c r="F140" t="inlineStr">
        <is>
          <t>West</t>
        </is>
      </c>
      <c r="G140" t="inlineStr">
        <is>
          <t>Mid-Market</t>
        </is>
      </c>
      <c r="H140" t="inlineStr">
        <is>
          <t>Self-serve</t>
        </is>
      </c>
      <c r="I140" t="inlineStr">
        <is>
          <t>Add-ons</t>
        </is>
      </c>
      <c r="J140" t="inlineStr">
        <is>
          <t>Support Plus</t>
        </is>
      </c>
      <c r="K140" t="inlineStr">
        <is>
          <t>C. Mehta</t>
        </is>
      </c>
      <c r="L140" t="n">
        <v>47</v>
      </c>
      <c r="M140" s="3" t="n">
        <v>509.19</v>
      </c>
      <c r="N140" s="3">
        <f>L140*M140</f>
        <v/>
      </c>
      <c r="O140" s="3">
        <f>N140*0.338</f>
        <v/>
      </c>
      <c r="P140" s="3">
        <f>N140-O140</f>
        <v/>
      </c>
      <c r="Q140" s="4">
        <f>IF(N140=0,0,P140/N140)</f>
        <v/>
      </c>
    </row>
    <row r="141">
      <c r="A141" t="inlineStr">
        <is>
          <t>ORD-1139</t>
        </is>
      </c>
      <c r="B141" s="2" t="n">
        <v>45370</v>
      </c>
      <c r="C141" t="n">
        <v>2024</v>
      </c>
      <c r="D141" t="inlineStr">
        <is>
          <t>Q1</t>
        </is>
      </c>
      <c r="E141" t="inlineStr">
        <is>
          <t>Mar</t>
        </is>
      </c>
      <c r="F141" t="inlineStr">
        <is>
          <t>North</t>
        </is>
      </c>
      <c r="G141" t="inlineStr">
        <is>
          <t>SMB</t>
        </is>
      </c>
      <c r="H141" t="inlineStr">
        <is>
          <t>Partner</t>
        </is>
      </c>
      <c r="I141" t="inlineStr">
        <is>
          <t>Services</t>
        </is>
      </c>
      <c r="J141" t="inlineStr">
        <is>
          <t>Training</t>
        </is>
      </c>
      <c r="K141" t="inlineStr">
        <is>
          <t>A. Rao</t>
        </is>
      </c>
      <c r="L141" t="n">
        <v>5</v>
      </c>
      <c r="M141" s="3" t="n">
        <v>500.69</v>
      </c>
      <c r="N141" s="3">
        <f>L141*M141</f>
        <v/>
      </c>
      <c r="O141" s="3">
        <f>N141*0.227</f>
        <v/>
      </c>
      <c r="P141" s="3">
        <f>N141-O141</f>
        <v/>
      </c>
      <c r="Q141" s="4">
        <f>IF(N141=0,0,P141/N141)</f>
        <v/>
      </c>
    </row>
    <row r="142">
      <c r="A142" t="inlineStr">
        <is>
          <t>ORD-1140</t>
        </is>
      </c>
      <c r="B142" s="2" t="n">
        <v>45482</v>
      </c>
      <c r="C142" t="n">
        <v>2024</v>
      </c>
      <c r="D142" t="inlineStr">
        <is>
          <t>Q3</t>
        </is>
      </c>
      <c r="E142" t="inlineStr">
        <is>
          <t>Jul</t>
        </is>
      </c>
      <c r="F142" t="inlineStr">
        <is>
          <t>East</t>
        </is>
      </c>
      <c r="G142" t="inlineStr">
        <is>
          <t>Enterprise</t>
        </is>
      </c>
      <c r="H142" t="inlineStr">
        <is>
          <t>Direct</t>
        </is>
      </c>
      <c r="I142" t="inlineStr">
        <is>
          <t>Subscriptions</t>
        </is>
      </c>
      <c r="J142" t="inlineStr">
        <is>
          <t>Enterprise</t>
        </is>
      </c>
      <c r="K142" t="inlineStr">
        <is>
          <t>D. Iyer</t>
        </is>
      </c>
      <c r="L142" t="n">
        <v>4</v>
      </c>
      <c r="M142" s="3" t="n">
        <v>1590.22</v>
      </c>
      <c r="N142" s="3">
        <f>L142*M142</f>
        <v/>
      </c>
      <c r="O142" s="3">
        <f>N142*0.344</f>
        <v/>
      </c>
      <c r="P142" s="3">
        <f>N142-O142</f>
        <v/>
      </c>
      <c r="Q142" s="4">
        <f>IF(N142=0,0,P142/N142)</f>
        <v/>
      </c>
    </row>
    <row r="143">
      <c r="A143" t="inlineStr">
        <is>
          <t>ORD-1141</t>
        </is>
      </c>
      <c r="B143" s="2" t="n">
        <v>45632</v>
      </c>
      <c r="C143" t="n">
        <v>2024</v>
      </c>
      <c r="D143" t="inlineStr">
        <is>
          <t>Q4</t>
        </is>
      </c>
      <c r="E143" t="inlineStr">
        <is>
          <t>Dec</t>
        </is>
      </c>
      <c r="F143" t="inlineStr">
        <is>
          <t>East</t>
        </is>
      </c>
      <c r="G143" t="inlineStr">
        <is>
          <t>Mid-Market</t>
        </is>
      </c>
      <c r="H143" t="inlineStr">
        <is>
          <t>Direct</t>
        </is>
      </c>
      <c r="I143" t="inlineStr">
        <is>
          <t>Add-ons</t>
        </is>
      </c>
      <c r="J143" t="inlineStr">
        <is>
          <t>Extra Seats</t>
        </is>
      </c>
      <c r="K143" t="inlineStr">
        <is>
          <t>E. Nair</t>
        </is>
      </c>
      <c r="L143" t="n">
        <v>4</v>
      </c>
      <c r="M143" s="3" t="n">
        <v>2430.48</v>
      </c>
      <c r="N143" s="3">
        <f>L143*M143</f>
        <v/>
      </c>
      <c r="O143" s="3">
        <f>N143*0.298</f>
        <v/>
      </c>
      <c r="P143" s="3">
        <f>N143-O143</f>
        <v/>
      </c>
      <c r="Q143" s="4">
        <f>IF(N143=0,0,P143/N143)</f>
        <v/>
      </c>
    </row>
    <row r="144">
      <c r="A144" t="inlineStr">
        <is>
          <t>ORD-1142</t>
        </is>
      </c>
      <c r="B144" s="2" t="n">
        <v>45371</v>
      </c>
      <c r="C144" t="n">
        <v>2024</v>
      </c>
      <c r="D144" t="inlineStr">
        <is>
          <t>Q1</t>
        </is>
      </c>
      <c r="E144" t="inlineStr">
        <is>
          <t>Mar</t>
        </is>
      </c>
      <c r="F144" t="inlineStr">
        <is>
          <t>East</t>
        </is>
      </c>
      <c r="G144" t="inlineStr">
        <is>
          <t>Enterprise</t>
        </is>
      </c>
      <c r="H144" t="inlineStr">
        <is>
          <t>Partner</t>
        </is>
      </c>
      <c r="I144" t="inlineStr">
        <is>
          <t>Services</t>
        </is>
      </c>
      <c r="J144" t="inlineStr">
        <is>
          <t>Training</t>
        </is>
      </c>
      <c r="K144" t="inlineStr">
        <is>
          <t>A. Rao</t>
        </is>
      </c>
      <c r="L144" t="n">
        <v>15</v>
      </c>
      <c r="M144" s="3" t="n">
        <v>2164</v>
      </c>
      <c r="N144" s="3">
        <f>L144*M144</f>
        <v/>
      </c>
      <c r="O144" s="3">
        <f>N144*0.221</f>
        <v/>
      </c>
      <c r="P144" s="3">
        <f>N144-O144</f>
        <v/>
      </c>
      <c r="Q144" s="4">
        <f>IF(N144=0,0,P144/N144)</f>
        <v/>
      </c>
    </row>
    <row r="145">
      <c r="A145" t="inlineStr">
        <is>
          <t>ORD-1143</t>
        </is>
      </c>
      <c r="B145" s="2" t="n">
        <v>45585</v>
      </c>
      <c r="C145" t="n">
        <v>2024</v>
      </c>
      <c r="D145" t="inlineStr">
        <is>
          <t>Q4</t>
        </is>
      </c>
      <c r="E145" t="inlineStr">
        <is>
          <t>Oct</t>
        </is>
      </c>
      <c r="F145" t="inlineStr">
        <is>
          <t>North</t>
        </is>
      </c>
      <c r="G145" t="inlineStr">
        <is>
          <t>Enterprise</t>
        </is>
      </c>
      <c r="H145" t="inlineStr">
        <is>
          <t>Self-serve</t>
        </is>
      </c>
      <c r="I145" t="inlineStr">
        <is>
          <t>Subscriptions</t>
        </is>
      </c>
      <c r="J145" t="inlineStr">
        <is>
          <t>Pro</t>
        </is>
      </c>
      <c r="K145" t="inlineStr">
        <is>
          <t>F. Shah</t>
        </is>
      </c>
      <c r="L145" t="n">
        <v>36</v>
      </c>
      <c r="M145" s="3" t="n">
        <v>2444</v>
      </c>
      <c r="N145" s="3">
        <f>L145*M145</f>
        <v/>
      </c>
      <c r="O145" s="3">
        <f>N145*0.37</f>
        <v/>
      </c>
      <c r="P145" s="3">
        <f>N145-O145</f>
        <v/>
      </c>
      <c r="Q145" s="4">
        <f>IF(N145=0,0,P145/N145)</f>
        <v/>
      </c>
    </row>
    <row r="146">
      <c r="A146" t="inlineStr">
        <is>
          <t>ORD-1144</t>
        </is>
      </c>
      <c r="B146" s="2" t="n">
        <v>45384</v>
      </c>
      <c r="C146" t="n">
        <v>2024</v>
      </c>
      <c r="D146" t="inlineStr">
        <is>
          <t>Q2</t>
        </is>
      </c>
      <c r="E146" t="inlineStr">
        <is>
          <t>Apr</t>
        </is>
      </c>
      <c r="F146" t="inlineStr">
        <is>
          <t>East</t>
        </is>
      </c>
      <c r="G146" t="inlineStr">
        <is>
          <t>Mid-Market</t>
        </is>
      </c>
      <c r="H146" t="inlineStr">
        <is>
          <t>Direct</t>
        </is>
      </c>
      <c r="I146" t="inlineStr">
        <is>
          <t>Add-ons</t>
        </is>
      </c>
      <c r="J146" t="inlineStr">
        <is>
          <t>Extra Seats</t>
        </is>
      </c>
      <c r="K146" t="inlineStr">
        <is>
          <t>B. Khan</t>
        </is>
      </c>
      <c r="L146" t="n">
        <v>49</v>
      </c>
      <c r="M146" s="3" t="n">
        <v>979.77</v>
      </c>
      <c r="N146" s="3">
        <f>L146*M146</f>
        <v/>
      </c>
      <c r="O146" s="3">
        <f>N146*0.189</f>
        <v/>
      </c>
      <c r="P146" s="3">
        <f>N146-O146</f>
        <v/>
      </c>
      <c r="Q146" s="4">
        <f>IF(N146=0,0,P146/N146)</f>
        <v/>
      </c>
    </row>
    <row r="147">
      <c r="A147" t="inlineStr">
        <is>
          <t>ORD-1145</t>
        </is>
      </c>
      <c r="B147" s="2" t="n">
        <v>45581</v>
      </c>
      <c r="C147" t="n">
        <v>2024</v>
      </c>
      <c r="D147" t="inlineStr">
        <is>
          <t>Q4</t>
        </is>
      </c>
      <c r="E147" t="inlineStr">
        <is>
          <t>Oct</t>
        </is>
      </c>
      <c r="F147" t="inlineStr">
        <is>
          <t>North</t>
        </is>
      </c>
      <c r="G147" t="inlineStr">
        <is>
          <t>SMB</t>
        </is>
      </c>
      <c r="H147" t="inlineStr">
        <is>
          <t>Self-serve</t>
        </is>
      </c>
      <c r="I147" t="inlineStr">
        <is>
          <t>Services</t>
        </is>
      </c>
      <c r="J147" t="inlineStr">
        <is>
          <t>Training</t>
        </is>
      </c>
      <c r="K147" t="inlineStr">
        <is>
          <t>E. Nair</t>
        </is>
      </c>
      <c r="L147" t="n">
        <v>5</v>
      </c>
      <c r="M147" s="3" t="n">
        <v>612.12</v>
      </c>
      <c r="N147" s="3">
        <f>L147*M147</f>
        <v/>
      </c>
      <c r="O147" s="3">
        <f>N147*0.385</f>
        <v/>
      </c>
      <c r="P147" s="3">
        <f>N147-O147</f>
        <v/>
      </c>
      <c r="Q147" s="4">
        <f>IF(N147=0,0,P147/N147)</f>
        <v/>
      </c>
    </row>
    <row r="148">
      <c r="A148" t="inlineStr">
        <is>
          <t>ORD-1146</t>
        </is>
      </c>
      <c r="B148" s="2" t="n">
        <v>45506</v>
      </c>
      <c r="C148" t="n">
        <v>2024</v>
      </c>
      <c r="D148" t="inlineStr">
        <is>
          <t>Q3</t>
        </is>
      </c>
      <c r="E148" t="inlineStr">
        <is>
          <t>Aug</t>
        </is>
      </c>
      <c r="F148" t="inlineStr">
        <is>
          <t>East</t>
        </is>
      </c>
      <c r="G148" t="inlineStr">
        <is>
          <t>Enterprise</t>
        </is>
      </c>
      <c r="H148" t="inlineStr">
        <is>
          <t>Self-serve</t>
        </is>
      </c>
      <c r="I148" t="inlineStr">
        <is>
          <t>Add-ons</t>
        </is>
      </c>
      <c r="J148" t="inlineStr">
        <is>
          <t>Support Plus</t>
        </is>
      </c>
      <c r="K148" t="inlineStr">
        <is>
          <t>A. Rao</t>
        </is>
      </c>
      <c r="L148" t="n">
        <v>11</v>
      </c>
      <c r="M148" s="3" t="n">
        <v>1114.12</v>
      </c>
      <c r="N148" s="3">
        <f>L148*M148</f>
        <v/>
      </c>
      <c r="O148" s="3">
        <f>N148*0.185</f>
        <v/>
      </c>
      <c r="P148" s="3">
        <f>N148-O148</f>
        <v/>
      </c>
      <c r="Q148" s="4">
        <f>IF(N148=0,0,P148/N148)</f>
        <v/>
      </c>
    </row>
    <row r="149">
      <c r="A149" t="inlineStr">
        <is>
          <t>ORD-1147</t>
        </is>
      </c>
      <c r="B149" s="2" t="n">
        <v>45371</v>
      </c>
      <c r="C149" t="n">
        <v>2024</v>
      </c>
      <c r="D149" t="inlineStr">
        <is>
          <t>Q1</t>
        </is>
      </c>
      <c r="E149" t="inlineStr">
        <is>
          <t>Mar</t>
        </is>
      </c>
      <c r="F149" t="inlineStr">
        <is>
          <t>East</t>
        </is>
      </c>
      <c r="G149" t="inlineStr">
        <is>
          <t>Mid-Market</t>
        </is>
      </c>
      <c r="H149" t="inlineStr">
        <is>
          <t>Self-serve</t>
        </is>
      </c>
      <c r="I149" t="inlineStr">
        <is>
          <t>Subscriptions</t>
        </is>
      </c>
      <c r="J149" t="inlineStr">
        <is>
          <t>Enterprise</t>
        </is>
      </c>
      <c r="K149" t="inlineStr">
        <is>
          <t>D. Iyer</t>
        </is>
      </c>
      <c r="L149" t="n">
        <v>4</v>
      </c>
      <c r="M149" s="3" t="n">
        <v>1782.73</v>
      </c>
      <c r="N149" s="3">
        <f>L149*M149</f>
        <v/>
      </c>
      <c r="O149" s="3">
        <f>N149*0.304</f>
        <v/>
      </c>
      <c r="P149" s="3">
        <f>N149-O149</f>
        <v/>
      </c>
      <c r="Q149" s="4">
        <f>IF(N149=0,0,P149/N149)</f>
        <v/>
      </c>
    </row>
    <row r="150">
      <c r="A150" t="inlineStr">
        <is>
          <t>ORD-1148</t>
        </is>
      </c>
      <c r="B150" s="2" t="n">
        <v>45518</v>
      </c>
      <c r="C150" t="n">
        <v>2024</v>
      </c>
      <c r="D150" t="inlineStr">
        <is>
          <t>Q3</t>
        </is>
      </c>
      <c r="E150" t="inlineStr">
        <is>
          <t>Aug</t>
        </is>
      </c>
      <c r="F150" t="inlineStr">
        <is>
          <t>North</t>
        </is>
      </c>
      <c r="G150" t="inlineStr">
        <is>
          <t>Mid-Market</t>
        </is>
      </c>
      <c r="H150" t="inlineStr">
        <is>
          <t>Partner</t>
        </is>
      </c>
      <c r="I150" t="inlineStr">
        <is>
          <t>Add-ons</t>
        </is>
      </c>
      <c r="J150" t="inlineStr">
        <is>
          <t>Support Plus</t>
        </is>
      </c>
      <c r="K150" t="inlineStr">
        <is>
          <t>A. Rao</t>
        </is>
      </c>
      <c r="L150" t="n">
        <v>14</v>
      </c>
      <c r="M150" s="3" t="n">
        <v>1960.87</v>
      </c>
      <c r="N150" s="3">
        <f>L150*M150</f>
        <v/>
      </c>
      <c r="O150" s="3">
        <f>N150*0.365</f>
        <v/>
      </c>
      <c r="P150" s="3">
        <f>N150-O150</f>
        <v/>
      </c>
      <c r="Q150" s="4">
        <f>IF(N150=0,0,P150/N150)</f>
        <v/>
      </c>
    </row>
    <row r="151">
      <c r="A151" t="inlineStr">
        <is>
          <t>ORD-1149</t>
        </is>
      </c>
      <c r="B151" s="2" t="n">
        <v>45639</v>
      </c>
      <c r="C151" t="n">
        <v>2024</v>
      </c>
      <c r="D151" t="inlineStr">
        <is>
          <t>Q4</t>
        </is>
      </c>
      <c r="E151" t="inlineStr">
        <is>
          <t>Dec</t>
        </is>
      </c>
      <c r="F151" t="inlineStr">
        <is>
          <t>North</t>
        </is>
      </c>
      <c r="G151" t="inlineStr">
        <is>
          <t>SMB</t>
        </is>
      </c>
      <c r="H151" t="inlineStr">
        <is>
          <t>Partner</t>
        </is>
      </c>
      <c r="I151" t="inlineStr">
        <is>
          <t>Services</t>
        </is>
      </c>
      <c r="J151" t="inlineStr">
        <is>
          <t>Training</t>
        </is>
      </c>
      <c r="K151" t="inlineStr">
        <is>
          <t>E. Nair</t>
        </is>
      </c>
      <c r="L151" t="n">
        <v>34</v>
      </c>
      <c r="M151" s="3" t="n">
        <v>1767.69</v>
      </c>
      <c r="N151" s="3">
        <f>L151*M151</f>
        <v/>
      </c>
      <c r="O151" s="3">
        <f>N151*0.434</f>
        <v/>
      </c>
      <c r="P151" s="3">
        <f>N151-O151</f>
        <v/>
      </c>
      <c r="Q151" s="4">
        <f>IF(N151=0,0,P151/N151)</f>
        <v/>
      </c>
    </row>
    <row r="152">
      <c r="A152" t="inlineStr">
        <is>
          <t>ORD-1150</t>
        </is>
      </c>
      <c r="B152" s="2" t="n">
        <v>45396</v>
      </c>
      <c r="C152" t="n">
        <v>2024</v>
      </c>
      <c r="D152" t="inlineStr">
        <is>
          <t>Q2</t>
        </is>
      </c>
      <c r="E152" t="inlineStr">
        <is>
          <t>Apr</t>
        </is>
      </c>
      <c r="F152" t="inlineStr">
        <is>
          <t>East</t>
        </is>
      </c>
      <c r="G152" t="inlineStr">
        <is>
          <t>Mid-Market</t>
        </is>
      </c>
      <c r="H152" t="inlineStr">
        <is>
          <t>Partner</t>
        </is>
      </c>
      <c r="I152" t="inlineStr">
        <is>
          <t>Add-ons</t>
        </is>
      </c>
      <c r="J152" t="inlineStr">
        <is>
          <t>Analytics</t>
        </is>
      </c>
      <c r="K152" t="inlineStr">
        <is>
          <t>A. Rao</t>
        </is>
      </c>
      <c r="L152" t="n">
        <v>50</v>
      </c>
      <c r="M152" s="3" t="n">
        <v>601.92</v>
      </c>
      <c r="N152" s="3">
        <f>L152*M152</f>
        <v/>
      </c>
      <c r="O152" s="3">
        <f>N152*0.448</f>
        <v/>
      </c>
      <c r="P152" s="3">
        <f>N152-O152</f>
        <v/>
      </c>
      <c r="Q152" s="4">
        <f>IF(N152=0,0,P152/N152)</f>
        <v/>
      </c>
    </row>
    <row r="153">
      <c r="A153" t="inlineStr">
        <is>
          <t>ORD-1151</t>
        </is>
      </c>
      <c r="B153" s="2" t="n">
        <v>45512</v>
      </c>
      <c r="C153" t="n">
        <v>2024</v>
      </c>
      <c r="D153" t="inlineStr">
        <is>
          <t>Q3</t>
        </is>
      </c>
      <c r="E153" t="inlineStr">
        <is>
          <t>Aug</t>
        </is>
      </c>
      <c r="F153" t="inlineStr">
        <is>
          <t>South</t>
        </is>
      </c>
      <c r="G153" t="inlineStr">
        <is>
          <t>Enterprise</t>
        </is>
      </c>
      <c r="H153" t="inlineStr">
        <is>
          <t>Self-serve</t>
        </is>
      </c>
      <c r="I153" t="inlineStr">
        <is>
          <t>Subscriptions</t>
        </is>
      </c>
      <c r="J153" t="inlineStr">
        <is>
          <t>Starter</t>
        </is>
      </c>
      <c r="K153" t="inlineStr">
        <is>
          <t>F. Shah</t>
        </is>
      </c>
      <c r="L153" t="n">
        <v>25</v>
      </c>
      <c r="M153" s="3" t="n">
        <v>1471.68</v>
      </c>
      <c r="N153" s="3">
        <f>L153*M153</f>
        <v/>
      </c>
      <c r="O153" s="3">
        <f>N153*0.208</f>
        <v/>
      </c>
      <c r="P153" s="3">
        <f>N153-O153</f>
        <v/>
      </c>
      <c r="Q153" s="4">
        <f>IF(N153=0,0,P153/N153)</f>
        <v/>
      </c>
    </row>
    <row r="154">
      <c r="A154" t="inlineStr">
        <is>
          <t>ORD-1152</t>
        </is>
      </c>
      <c r="B154" s="2" t="n">
        <v>45328</v>
      </c>
      <c r="C154" t="n">
        <v>2024</v>
      </c>
      <c r="D154" t="inlineStr">
        <is>
          <t>Q1</t>
        </is>
      </c>
      <c r="E154" t="inlineStr">
        <is>
          <t>Feb</t>
        </is>
      </c>
      <c r="F154" t="inlineStr">
        <is>
          <t>West</t>
        </is>
      </c>
      <c r="G154" t="inlineStr">
        <is>
          <t>SMB</t>
        </is>
      </c>
      <c r="H154" t="inlineStr">
        <is>
          <t>Partner</t>
        </is>
      </c>
      <c r="I154" t="inlineStr">
        <is>
          <t>Add-ons</t>
        </is>
      </c>
      <c r="J154" t="inlineStr">
        <is>
          <t>Extra Seats</t>
        </is>
      </c>
      <c r="K154" t="inlineStr">
        <is>
          <t>E. Nair</t>
        </is>
      </c>
      <c r="L154" t="n">
        <v>3</v>
      </c>
      <c r="M154" s="3" t="n">
        <v>1259.68</v>
      </c>
      <c r="N154" s="3">
        <f>L154*M154</f>
        <v/>
      </c>
      <c r="O154" s="3">
        <f>N154*0.321</f>
        <v/>
      </c>
      <c r="P154" s="3">
        <f>N154-O154</f>
        <v/>
      </c>
      <c r="Q154" s="4">
        <f>IF(N154=0,0,P154/N154)</f>
        <v/>
      </c>
    </row>
    <row r="155">
      <c r="A155" t="inlineStr">
        <is>
          <t>ORD-1153</t>
        </is>
      </c>
      <c r="B155" s="2" t="n">
        <v>45499</v>
      </c>
      <c r="C155" t="n">
        <v>2024</v>
      </c>
      <c r="D155" t="inlineStr">
        <is>
          <t>Q3</t>
        </is>
      </c>
      <c r="E155" t="inlineStr">
        <is>
          <t>Jul</t>
        </is>
      </c>
      <c r="F155" t="inlineStr">
        <is>
          <t>North</t>
        </is>
      </c>
      <c r="G155" t="inlineStr">
        <is>
          <t>Mid-Market</t>
        </is>
      </c>
      <c r="H155" t="inlineStr">
        <is>
          <t>Direct</t>
        </is>
      </c>
      <c r="I155" t="inlineStr">
        <is>
          <t>Services</t>
        </is>
      </c>
      <c r="J155" t="inlineStr">
        <is>
          <t>Training</t>
        </is>
      </c>
      <c r="K155" t="inlineStr">
        <is>
          <t>E. Nair</t>
        </is>
      </c>
      <c r="L155" t="n">
        <v>19</v>
      </c>
      <c r="M155" s="3" t="n">
        <v>553.38</v>
      </c>
      <c r="N155" s="3">
        <f>L155*M155</f>
        <v/>
      </c>
      <c r="O155" s="3">
        <f>N155*0.312</f>
        <v/>
      </c>
      <c r="P155" s="3">
        <f>N155-O155</f>
        <v/>
      </c>
      <c r="Q155" s="4">
        <f>IF(N155=0,0,P155/N155)</f>
        <v/>
      </c>
    </row>
    <row r="156">
      <c r="A156" t="inlineStr">
        <is>
          <t>ORD-1154</t>
        </is>
      </c>
      <c r="B156" s="2" t="n">
        <v>45645</v>
      </c>
      <c r="C156" t="n">
        <v>2024</v>
      </c>
      <c r="D156" t="inlineStr">
        <is>
          <t>Q4</t>
        </is>
      </c>
      <c r="E156" t="inlineStr">
        <is>
          <t>Dec</t>
        </is>
      </c>
      <c r="F156" t="inlineStr">
        <is>
          <t>South</t>
        </is>
      </c>
      <c r="G156" t="inlineStr">
        <is>
          <t>Mid-Market</t>
        </is>
      </c>
      <c r="H156" t="inlineStr">
        <is>
          <t>Self-serve</t>
        </is>
      </c>
      <c r="I156" t="inlineStr">
        <is>
          <t>Add-ons</t>
        </is>
      </c>
      <c r="J156" t="inlineStr">
        <is>
          <t>Analytics</t>
        </is>
      </c>
      <c r="K156" t="inlineStr">
        <is>
          <t>D. Iyer</t>
        </is>
      </c>
      <c r="L156" t="n">
        <v>28</v>
      </c>
      <c r="M156" s="3" t="n">
        <v>2157.87</v>
      </c>
      <c r="N156" s="3">
        <f>L156*M156</f>
        <v/>
      </c>
      <c r="O156" s="3">
        <f>N156*0.293</f>
        <v/>
      </c>
      <c r="P156" s="3">
        <f>N156-O156</f>
        <v/>
      </c>
      <c r="Q156" s="4">
        <f>IF(N156=0,0,P156/N156)</f>
        <v/>
      </c>
    </row>
    <row r="157">
      <c r="A157" t="inlineStr">
        <is>
          <t>ORD-1155</t>
        </is>
      </c>
      <c r="B157" s="2" t="n">
        <v>45494</v>
      </c>
      <c r="C157" t="n">
        <v>2024</v>
      </c>
      <c r="D157" t="inlineStr">
        <is>
          <t>Q3</t>
        </is>
      </c>
      <c r="E157" t="inlineStr">
        <is>
          <t>Jul</t>
        </is>
      </c>
      <c r="F157" t="inlineStr">
        <is>
          <t>South</t>
        </is>
      </c>
      <c r="G157" t="inlineStr">
        <is>
          <t>SMB</t>
        </is>
      </c>
      <c r="H157" t="inlineStr">
        <is>
          <t>Self-serve</t>
        </is>
      </c>
      <c r="I157" t="inlineStr">
        <is>
          <t>Add-ons</t>
        </is>
      </c>
      <c r="J157" t="inlineStr">
        <is>
          <t>Extra Seats</t>
        </is>
      </c>
      <c r="K157" t="inlineStr">
        <is>
          <t>F. Shah</t>
        </is>
      </c>
      <c r="L157" t="n">
        <v>22</v>
      </c>
      <c r="M157" s="3" t="n">
        <v>787.46</v>
      </c>
      <c r="N157" s="3">
        <f>L157*M157</f>
        <v/>
      </c>
      <c r="O157" s="3">
        <f>N157*0.416</f>
        <v/>
      </c>
      <c r="P157" s="3">
        <f>N157-O157</f>
        <v/>
      </c>
      <c r="Q157" s="4">
        <f>IF(N157=0,0,P157/N157)</f>
        <v/>
      </c>
    </row>
    <row r="158">
      <c r="A158" t="inlineStr">
        <is>
          <t>ORD-1156</t>
        </is>
      </c>
      <c r="B158" s="2" t="n">
        <v>45553</v>
      </c>
      <c r="C158" t="n">
        <v>2024</v>
      </c>
      <c r="D158" t="inlineStr">
        <is>
          <t>Q3</t>
        </is>
      </c>
      <c r="E158" t="inlineStr">
        <is>
          <t>Sep</t>
        </is>
      </c>
      <c r="F158" t="inlineStr">
        <is>
          <t>South</t>
        </is>
      </c>
      <c r="G158" t="inlineStr">
        <is>
          <t>SMB</t>
        </is>
      </c>
      <c r="H158" t="inlineStr">
        <is>
          <t>Direct</t>
        </is>
      </c>
      <c r="I158" t="inlineStr">
        <is>
          <t>Subscriptions</t>
        </is>
      </c>
      <c r="J158" t="inlineStr">
        <is>
          <t>Pro</t>
        </is>
      </c>
      <c r="K158" t="inlineStr">
        <is>
          <t>B. Khan</t>
        </is>
      </c>
      <c r="L158" t="n">
        <v>23</v>
      </c>
      <c r="M158" s="3" t="n">
        <v>1900.23</v>
      </c>
      <c r="N158" s="3">
        <f>L158*M158</f>
        <v/>
      </c>
      <c r="O158" s="3">
        <f>N158*0.373</f>
        <v/>
      </c>
      <c r="P158" s="3">
        <f>N158-O158</f>
        <v/>
      </c>
      <c r="Q158" s="4">
        <f>IF(N158=0,0,P158/N158)</f>
        <v/>
      </c>
    </row>
    <row r="159">
      <c r="A159" t="inlineStr">
        <is>
          <t>ORD-1157</t>
        </is>
      </c>
      <c r="B159" s="2" t="n">
        <v>45380</v>
      </c>
      <c r="C159" t="n">
        <v>2024</v>
      </c>
      <c r="D159" t="inlineStr">
        <is>
          <t>Q1</t>
        </is>
      </c>
      <c r="E159" t="inlineStr">
        <is>
          <t>Mar</t>
        </is>
      </c>
      <c r="F159" t="inlineStr">
        <is>
          <t>North</t>
        </is>
      </c>
      <c r="G159" t="inlineStr">
        <is>
          <t>SMB</t>
        </is>
      </c>
      <c r="H159" t="inlineStr">
        <is>
          <t>Self-serve</t>
        </is>
      </c>
      <c r="I159" t="inlineStr">
        <is>
          <t>Services</t>
        </is>
      </c>
      <c r="J159" t="inlineStr">
        <is>
          <t>Onboarding</t>
        </is>
      </c>
      <c r="K159" t="inlineStr">
        <is>
          <t>D. Iyer</t>
        </is>
      </c>
      <c r="L159" t="n">
        <v>49</v>
      </c>
      <c r="M159" s="3" t="n">
        <v>1970.14</v>
      </c>
      <c r="N159" s="3">
        <f>L159*M159</f>
        <v/>
      </c>
      <c r="O159" s="3">
        <f>N159*0.311</f>
        <v/>
      </c>
      <c r="P159" s="3">
        <f>N159-O159</f>
        <v/>
      </c>
      <c r="Q159" s="4">
        <f>IF(N159=0,0,P159/N159)</f>
        <v/>
      </c>
    </row>
    <row r="160">
      <c r="A160" t="inlineStr">
        <is>
          <t>ORD-1158</t>
        </is>
      </c>
      <c r="B160" s="2" t="n">
        <v>45580</v>
      </c>
      <c r="C160" t="n">
        <v>2024</v>
      </c>
      <c r="D160" t="inlineStr">
        <is>
          <t>Q4</t>
        </is>
      </c>
      <c r="E160" t="inlineStr">
        <is>
          <t>Oct</t>
        </is>
      </c>
      <c r="F160" t="inlineStr">
        <is>
          <t>East</t>
        </is>
      </c>
      <c r="G160" t="inlineStr">
        <is>
          <t>Enterprise</t>
        </is>
      </c>
      <c r="H160" t="inlineStr">
        <is>
          <t>Partner</t>
        </is>
      </c>
      <c r="I160" t="inlineStr">
        <is>
          <t>Services</t>
        </is>
      </c>
      <c r="J160" t="inlineStr">
        <is>
          <t>Training</t>
        </is>
      </c>
      <c r="K160" t="inlineStr">
        <is>
          <t>B. Khan</t>
        </is>
      </c>
      <c r="L160" t="n">
        <v>44</v>
      </c>
      <c r="M160" s="3" t="n">
        <v>2333.14</v>
      </c>
      <c r="N160" s="3">
        <f>L160*M160</f>
        <v/>
      </c>
      <c r="O160" s="3">
        <f>N160*0.318</f>
        <v/>
      </c>
      <c r="P160" s="3">
        <f>N160-O160</f>
        <v/>
      </c>
      <c r="Q160" s="4">
        <f>IF(N160=0,0,P160/N160)</f>
        <v/>
      </c>
    </row>
    <row r="161">
      <c r="A161" t="inlineStr">
        <is>
          <t>ORD-1159</t>
        </is>
      </c>
      <c r="B161" s="2" t="n">
        <v>45532</v>
      </c>
      <c r="C161" t="n">
        <v>2024</v>
      </c>
      <c r="D161" t="inlineStr">
        <is>
          <t>Q3</t>
        </is>
      </c>
      <c r="E161" t="inlineStr">
        <is>
          <t>Aug</t>
        </is>
      </c>
      <c r="F161" t="inlineStr">
        <is>
          <t>North</t>
        </is>
      </c>
      <c r="G161" t="inlineStr">
        <is>
          <t>Mid-Market</t>
        </is>
      </c>
      <c r="H161" t="inlineStr">
        <is>
          <t>Self-serve</t>
        </is>
      </c>
      <c r="I161" t="inlineStr">
        <is>
          <t>Add-ons</t>
        </is>
      </c>
      <c r="J161" t="inlineStr">
        <is>
          <t>Extra Seats</t>
        </is>
      </c>
      <c r="K161" t="inlineStr">
        <is>
          <t>A. Rao</t>
        </is>
      </c>
      <c r="L161" t="n">
        <v>20</v>
      </c>
      <c r="M161" s="3" t="n">
        <v>2051.93</v>
      </c>
      <c r="N161" s="3">
        <f>L161*M161</f>
        <v/>
      </c>
      <c r="O161" s="3">
        <f>N161*0.357</f>
        <v/>
      </c>
      <c r="P161" s="3">
        <f>N161-O161</f>
        <v/>
      </c>
      <c r="Q161" s="4">
        <f>IF(N161=0,0,P161/N161)</f>
        <v/>
      </c>
    </row>
    <row r="162">
      <c r="A162" t="inlineStr">
        <is>
          <t>ORD-1160</t>
        </is>
      </c>
      <c r="B162" s="2" t="n">
        <v>45523</v>
      </c>
      <c r="C162" t="n">
        <v>2024</v>
      </c>
      <c r="D162" t="inlineStr">
        <is>
          <t>Q3</t>
        </is>
      </c>
      <c r="E162" t="inlineStr">
        <is>
          <t>Aug</t>
        </is>
      </c>
      <c r="F162" t="inlineStr">
        <is>
          <t>North</t>
        </is>
      </c>
      <c r="G162" t="inlineStr">
        <is>
          <t>Enterprise</t>
        </is>
      </c>
      <c r="H162" t="inlineStr">
        <is>
          <t>Direct</t>
        </is>
      </c>
      <c r="I162" t="inlineStr">
        <is>
          <t>Subscriptions</t>
        </is>
      </c>
      <c r="J162" t="inlineStr">
        <is>
          <t>Starter</t>
        </is>
      </c>
      <c r="K162" t="inlineStr">
        <is>
          <t>E. Nair</t>
        </is>
      </c>
      <c r="L162" t="n">
        <v>24</v>
      </c>
      <c r="M162" s="3" t="n">
        <v>2129.73</v>
      </c>
      <c r="N162" s="3">
        <f>L162*M162</f>
        <v/>
      </c>
      <c r="O162" s="3">
        <f>N162*0.272</f>
        <v/>
      </c>
      <c r="P162" s="3">
        <f>N162-O162</f>
        <v/>
      </c>
      <c r="Q162" s="4">
        <f>IF(N162=0,0,P162/N162)</f>
        <v/>
      </c>
    </row>
    <row r="163">
      <c r="A163" t="inlineStr">
        <is>
          <t>ORD-1161</t>
        </is>
      </c>
      <c r="B163" s="2" t="n">
        <v>45488</v>
      </c>
      <c r="C163" t="n">
        <v>2024</v>
      </c>
      <c r="D163" t="inlineStr">
        <is>
          <t>Q3</t>
        </is>
      </c>
      <c r="E163" t="inlineStr">
        <is>
          <t>Jul</t>
        </is>
      </c>
      <c r="F163" t="inlineStr">
        <is>
          <t>North</t>
        </is>
      </c>
      <c r="G163" t="inlineStr">
        <is>
          <t>Mid-Market</t>
        </is>
      </c>
      <c r="H163" t="inlineStr">
        <is>
          <t>Self-serve</t>
        </is>
      </c>
      <c r="I163" t="inlineStr">
        <is>
          <t>Add-ons</t>
        </is>
      </c>
      <c r="J163" t="inlineStr">
        <is>
          <t>Extra Seats</t>
        </is>
      </c>
      <c r="K163" t="inlineStr">
        <is>
          <t>F. Shah</t>
        </is>
      </c>
      <c r="L163" t="n">
        <v>36</v>
      </c>
      <c r="M163" s="3" t="n">
        <v>2399.31</v>
      </c>
      <c r="N163" s="3">
        <f>L163*M163</f>
        <v/>
      </c>
      <c r="O163" s="3">
        <f>N163*0.394</f>
        <v/>
      </c>
      <c r="P163" s="3">
        <f>N163-O163</f>
        <v/>
      </c>
      <c r="Q163" s="4">
        <f>IF(N163=0,0,P163/N163)</f>
        <v/>
      </c>
    </row>
    <row r="164">
      <c r="A164" t="inlineStr">
        <is>
          <t>ORD-1162</t>
        </is>
      </c>
      <c r="B164" s="2" t="n">
        <v>45601</v>
      </c>
      <c r="C164" t="n">
        <v>2024</v>
      </c>
      <c r="D164" t="inlineStr">
        <is>
          <t>Q4</t>
        </is>
      </c>
      <c r="E164" t="inlineStr">
        <is>
          <t>Nov</t>
        </is>
      </c>
      <c r="F164" t="inlineStr">
        <is>
          <t>West</t>
        </is>
      </c>
      <c r="G164" t="inlineStr">
        <is>
          <t>SMB</t>
        </is>
      </c>
      <c r="H164" t="inlineStr">
        <is>
          <t>Partner</t>
        </is>
      </c>
      <c r="I164" t="inlineStr">
        <is>
          <t>Add-ons</t>
        </is>
      </c>
      <c r="J164" t="inlineStr">
        <is>
          <t>Extra Seats</t>
        </is>
      </c>
      <c r="K164" t="inlineStr">
        <is>
          <t>F. Shah</t>
        </is>
      </c>
      <c r="L164" t="n">
        <v>10</v>
      </c>
      <c r="M164" s="3" t="n">
        <v>2406.99</v>
      </c>
      <c r="N164" s="3">
        <f>L164*M164</f>
        <v/>
      </c>
      <c r="O164" s="3">
        <f>N164*0.425</f>
        <v/>
      </c>
      <c r="P164" s="3">
        <f>N164-O164</f>
        <v/>
      </c>
      <c r="Q164" s="4">
        <f>IF(N164=0,0,P164/N164)</f>
        <v/>
      </c>
    </row>
    <row r="165">
      <c r="A165" t="inlineStr">
        <is>
          <t>ORD-1163</t>
        </is>
      </c>
      <c r="B165" s="2" t="n">
        <v>45622</v>
      </c>
      <c r="C165" t="n">
        <v>2024</v>
      </c>
      <c r="D165" t="inlineStr">
        <is>
          <t>Q4</t>
        </is>
      </c>
      <c r="E165" t="inlineStr">
        <is>
          <t>Nov</t>
        </is>
      </c>
      <c r="F165" t="inlineStr">
        <is>
          <t>West</t>
        </is>
      </c>
      <c r="G165" t="inlineStr">
        <is>
          <t>Enterprise</t>
        </is>
      </c>
      <c r="H165" t="inlineStr">
        <is>
          <t>Self-serve</t>
        </is>
      </c>
      <c r="I165" t="inlineStr">
        <is>
          <t>Subscriptions</t>
        </is>
      </c>
      <c r="J165" t="inlineStr">
        <is>
          <t>Starter</t>
        </is>
      </c>
      <c r="K165" t="inlineStr">
        <is>
          <t>E. Nair</t>
        </is>
      </c>
      <c r="L165" t="n">
        <v>16</v>
      </c>
      <c r="M165" s="3" t="n">
        <v>1856.77</v>
      </c>
      <c r="N165" s="3">
        <f>L165*M165</f>
        <v/>
      </c>
      <c r="O165" s="3">
        <f>N165*0.402</f>
        <v/>
      </c>
      <c r="P165" s="3">
        <f>N165-O165</f>
        <v/>
      </c>
      <c r="Q165" s="4">
        <f>IF(N165=0,0,P165/N165)</f>
        <v/>
      </c>
    </row>
    <row r="166">
      <c r="A166" t="inlineStr">
        <is>
          <t>ORD-1164</t>
        </is>
      </c>
      <c r="B166" s="2" t="n">
        <v>45482</v>
      </c>
      <c r="C166" t="n">
        <v>2024</v>
      </c>
      <c r="D166" t="inlineStr">
        <is>
          <t>Q3</t>
        </is>
      </c>
      <c r="E166" t="inlineStr">
        <is>
          <t>Jul</t>
        </is>
      </c>
      <c r="F166" t="inlineStr">
        <is>
          <t>North</t>
        </is>
      </c>
      <c r="G166" t="inlineStr">
        <is>
          <t>Enterprise</t>
        </is>
      </c>
      <c r="H166" t="inlineStr">
        <is>
          <t>Self-serve</t>
        </is>
      </c>
      <c r="I166" t="inlineStr">
        <is>
          <t>Add-ons</t>
        </is>
      </c>
      <c r="J166" t="inlineStr">
        <is>
          <t>Support Plus</t>
        </is>
      </c>
      <c r="K166" t="inlineStr">
        <is>
          <t>C. Mehta</t>
        </is>
      </c>
      <c r="L166" t="n">
        <v>27</v>
      </c>
      <c r="M166" s="3" t="n">
        <v>2003.82</v>
      </c>
      <c r="N166" s="3">
        <f>L166*M166</f>
        <v/>
      </c>
      <c r="O166" s="3">
        <f>N166*0.43</f>
        <v/>
      </c>
      <c r="P166" s="3">
        <f>N166-O166</f>
        <v/>
      </c>
      <c r="Q166" s="4">
        <f>IF(N166=0,0,P166/N166)</f>
        <v/>
      </c>
    </row>
    <row r="167">
      <c r="A167" t="inlineStr">
        <is>
          <t>ORD-1165</t>
        </is>
      </c>
      <c r="B167" s="2" t="n">
        <v>45340</v>
      </c>
      <c r="C167" t="n">
        <v>2024</v>
      </c>
      <c r="D167" t="inlineStr">
        <is>
          <t>Q1</t>
        </is>
      </c>
      <c r="E167" t="inlineStr">
        <is>
          <t>Feb</t>
        </is>
      </c>
      <c r="F167" t="inlineStr">
        <is>
          <t>South</t>
        </is>
      </c>
      <c r="G167" t="inlineStr">
        <is>
          <t>Mid-Market</t>
        </is>
      </c>
      <c r="H167" t="inlineStr">
        <is>
          <t>Direct</t>
        </is>
      </c>
      <c r="I167" t="inlineStr">
        <is>
          <t>Services</t>
        </is>
      </c>
      <c r="J167" t="inlineStr">
        <is>
          <t>Training</t>
        </is>
      </c>
      <c r="K167" t="inlineStr">
        <is>
          <t>E. Nair</t>
        </is>
      </c>
      <c r="L167" t="n">
        <v>19</v>
      </c>
      <c r="M167" s="3" t="n">
        <v>854.39</v>
      </c>
      <c r="N167" s="3">
        <f>L167*M167</f>
        <v/>
      </c>
      <c r="O167" s="3">
        <f>N167*0.251</f>
        <v/>
      </c>
      <c r="P167" s="3">
        <f>N167-O167</f>
        <v/>
      </c>
      <c r="Q167" s="4">
        <f>IF(N167=0,0,P167/N167)</f>
        <v/>
      </c>
    </row>
    <row r="168">
      <c r="A168" t="inlineStr">
        <is>
          <t>ORD-1166</t>
        </is>
      </c>
      <c r="B168" s="2" t="n">
        <v>45471</v>
      </c>
      <c r="C168" t="n">
        <v>2024</v>
      </c>
      <c r="D168" t="inlineStr">
        <is>
          <t>Q2</t>
        </is>
      </c>
      <c r="E168" t="inlineStr">
        <is>
          <t>Jun</t>
        </is>
      </c>
      <c r="F168" t="inlineStr">
        <is>
          <t>South</t>
        </is>
      </c>
      <c r="G168" t="inlineStr">
        <is>
          <t>Enterprise</t>
        </is>
      </c>
      <c r="H168" t="inlineStr">
        <is>
          <t>Self-serve</t>
        </is>
      </c>
      <c r="I168" t="inlineStr">
        <is>
          <t>Add-ons</t>
        </is>
      </c>
      <c r="J168" t="inlineStr">
        <is>
          <t>Extra Seats</t>
        </is>
      </c>
      <c r="K168" t="inlineStr">
        <is>
          <t>A. Rao</t>
        </is>
      </c>
      <c r="L168" t="n">
        <v>45</v>
      </c>
      <c r="M168" s="3" t="n">
        <v>1756.7</v>
      </c>
      <c r="N168" s="3">
        <f>L168*M168</f>
        <v/>
      </c>
      <c r="O168" s="3">
        <f>N168*0.357</f>
        <v/>
      </c>
      <c r="P168" s="3">
        <f>N168-O168</f>
        <v/>
      </c>
      <c r="Q168" s="4">
        <f>IF(N168=0,0,P168/N168)</f>
        <v/>
      </c>
    </row>
    <row r="169">
      <c r="A169" t="inlineStr">
        <is>
          <t>ORD-1167</t>
        </is>
      </c>
      <c r="B169" s="2" t="n">
        <v>45484</v>
      </c>
      <c r="C169" t="n">
        <v>2024</v>
      </c>
      <c r="D169" t="inlineStr">
        <is>
          <t>Q3</t>
        </is>
      </c>
      <c r="E169" t="inlineStr">
        <is>
          <t>Jul</t>
        </is>
      </c>
      <c r="F169" t="inlineStr">
        <is>
          <t>North</t>
        </is>
      </c>
      <c r="G169" t="inlineStr">
        <is>
          <t>Enterprise</t>
        </is>
      </c>
      <c r="H169" t="inlineStr">
        <is>
          <t>Self-serve</t>
        </is>
      </c>
      <c r="I169" t="inlineStr">
        <is>
          <t>Services</t>
        </is>
      </c>
      <c r="J169" t="inlineStr">
        <is>
          <t>Training</t>
        </is>
      </c>
      <c r="K169" t="inlineStr">
        <is>
          <t>D. Iyer</t>
        </is>
      </c>
      <c r="L169" t="n">
        <v>9</v>
      </c>
      <c r="M169" s="3" t="n">
        <v>1774.26</v>
      </c>
      <c r="N169" s="3">
        <f>L169*M169</f>
        <v/>
      </c>
      <c r="O169" s="3">
        <f>N169*0.297</f>
        <v/>
      </c>
      <c r="P169" s="3">
        <f>N169-O169</f>
        <v/>
      </c>
      <c r="Q169" s="4">
        <f>IF(N169=0,0,P169/N169)</f>
        <v/>
      </c>
    </row>
    <row r="170">
      <c r="A170" t="inlineStr">
        <is>
          <t>ORD-1168</t>
        </is>
      </c>
      <c r="B170" s="2" t="n">
        <v>45301</v>
      </c>
      <c r="C170" t="n">
        <v>2024</v>
      </c>
      <c r="D170" t="inlineStr">
        <is>
          <t>Q1</t>
        </is>
      </c>
      <c r="E170" t="inlineStr">
        <is>
          <t>Jan</t>
        </is>
      </c>
      <c r="F170" t="inlineStr">
        <is>
          <t>East</t>
        </is>
      </c>
      <c r="G170" t="inlineStr">
        <is>
          <t>Mid-Market</t>
        </is>
      </c>
      <c r="H170" t="inlineStr">
        <is>
          <t>Direct</t>
        </is>
      </c>
      <c r="I170" t="inlineStr">
        <is>
          <t>Add-ons</t>
        </is>
      </c>
      <c r="J170" t="inlineStr">
        <is>
          <t>Support Plus</t>
        </is>
      </c>
      <c r="K170" t="inlineStr">
        <is>
          <t>B. Khan</t>
        </is>
      </c>
      <c r="L170" t="n">
        <v>12</v>
      </c>
      <c r="M170" s="3" t="n">
        <v>2392.57</v>
      </c>
      <c r="N170" s="3">
        <f>L170*M170</f>
        <v/>
      </c>
      <c r="O170" s="3">
        <f>N170*0.15</f>
        <v/>
      </c>
      <c r="P170" s="3">
        <f>N170-O170</f>
        <v/>
      </c>
      <c r="Q170" s="4">
        <f>IF(N170=0,0,P170/N170)</f>
        <v/>
      </c>
    </row>
    <row r="171">
      <c r="A171" t="inlineStr">
        <is>
          <t>ORD-1169</t>
        </is>
      </c>
      <c r="B171" s="2" t="n">
        <v>45371</v>
      </c>
      <c r="C171" t="n">
        <v>2024</v>
      </c>
      <c r="D171" t="inlineStr">
        <is>
          <t>Q1</t>
        </is>
      </c>
      <c r="E171" t="inlineStr">
        <is>
          <t>Mar</t>
        </is>
      </c>
      <c r="F171" t="inlineStr">
        <is>
          <t>North</t>
        </is>
      </c>
      <c r="G171" t="inlineStr">
        <is>
          <t>Enterprise</t>
        </is>
      </c>
      <c r="H171" t="inlineStr">
        <is>
          <t>Partner</t>
        </is>
      </c>
      <c r="I171" t="inlineStr">
        <is>
          <t>Subscriptions</t>
        </is>
      </c>
      <c r="J171" t="inlineStr">
        <is>
          <t>Pro</t>
        </is>
      </c>
      <c r="K171" t="inlineStr">
        <is>
          <t>E. Nair</t>
        </is>
      </c>
      <c r="L171" t="n">
        <v>7</v>
      </c>
      <c r="M171" s="3" t="n">
        <v>1416.92</v>
      </c>
      <c r="N171" s="3">
        <f>L171*M171</f>
        <v/>
      </c>
      <c r="O171" s="3">
        <f>N171*0.411</f>
        <v/>
      </c>
      <c r="P171" s="3">
        <f>N171-O171</f>
        <v/>
      </c>
      <c r="Q171" s="4">
        <f>IF(N171=0,0,P171/N171)</f>
        <v/>
      </c>
    </row>
    <row r="172">
      <c r="A172" t="inlineStr">
        <is>
          <t>ORD-1170</t>
        </is>
      </c>
      <c r="B172" s="2" t="n">
        <v>45484</v>
      </c>
      <c r="C172" t="n">
        <v>2024</v>
      </c>
      <c r="D172" t="inlineStr">
        <is>
          <t>Q3</t>
        </is>
      </c>
      <c r="E172" t="inlineStr">
        <is>
          <t>Jul</t>
        </is>
      </c>
      <c r="F172" t="inlineStr">
        <is>
          <t>South</t>
        </is>
      </c>
      <c r="G172" t="inlineStr">
        <is>
          <t>Enterprise</t>
        </is>
      </c>
      <c r="H172" t="inlineStr">
        <is>
          <t>Partner</t>
        </is>
      </c>
      <c r="I172" t="inlineStr">
        <is>
          <t>Subscriptions</t>
        </is>
      </c>
      <c r="J172" t="inlineStr">
        <is>
          <t>Starter</t>
        </is>
      </c>
      <c r="K172" t="inlineStr">
        <is>
          <t>A. Rao</t>
        </is>
      </c>
      <c r="L172" t="n">
        <v>12</v>
      </c>
      <c r="M172" s="3" t="n">
        <v>2128.96</v>
      </c>
      <c r="N172" s="3">
        <f>L172*M172</f>
        <v/>
      </c>
      <c r="O172" s="3">
        <f>N172*0.327</f>
        <v/>
      </c>
      <c r="P172" s="3">
        <f>N172-O172</f>
        <v/>
      </c>
      <c r="Q172" s="4">
        <f>IF(N172=0,0,P172/N172)</f>
        <v/>
      </c>
    </row>
    <row r="173">
      <c r="A173" t="inlineStr">
        <is>
          <t>ORD-1171</t>
        </is>
      </c>
      <c r="B173" s="2" t="n">
        <v>45638</v>
      </c>
      <c r="C173" t="n">
        <v>2024</v>
      </c>
      <c r="D173" t="inlineStr">
        <is>
          <t>Q4</t>
        </is>
      </c>
      <c r="E173" t="inlineStr">
        <is>
          <t>Dec</t>
        </is>
      </c>
      <c r="F173" t="inlineStr">
        <is>
          <t>West</t>
        </is>
      </c>
      <c r="G173" t="inlineStr">
        <is>
          <t>SMB</t>
        </is>
      </c>
      <c r="H173" t="inlineStr">
        <is>
          <t>Self-serve</t>
        </is>
      </c>
      <c r="I173" t="inlineStr">
        <is>
          <t>Services</t>
        </is>
      </c>
      <c r="J173" t="inlineStr">
        <is>
          <t>Onboarding</t>
        </is>
      </c>
      <c r="K173" t="inlineStr">
        <is>
          <t>B. Khan</t>
        </is>
      </c>
      <c r="L173" t="n">
        <v>29</v>
      </c>
      <c r="M173" s="3" t="n">
        <v>1643.31</v>
      </c>
      <c r="N173" s="3">
        <f>L173*M173</f>
        <v/>
      </c>
      <c r="O173" s="3">
        <f>N173*0.357</f>
        <v/>
      </c>
      <c r="P173" s="3">
        <f>N173-O173</f>
        <v/>
      </c>
      <c r="Q173" s="4">
        <f>IF(N173=0,0,P173/N173)</f>
        <v/>
      </c>
    </row>
    <row r="174">
      <c r="A174" t="inlineStr">
        <is>
          <t>ORD-1172</t>
        </is>
      </c>
      <c r="B174" s="2" t="n">
        <v>45532</v>
      </c>
      <c r="C174" t="n">
        <v>2024</v>
      </c>
      <c r="D174" t="inlineStr">
        <is>
          <t>Q3</t>
        </is>
      </c>
      <c r="E174" t="inlineStr">
        <is>
          <t>Aug</t>
        </is>
      </c>
      <c r="F174" t="inlineStr">
        <is>
          <t>West</t>
        </is>
      </c>
      <c r="G174" t="inlineStr">
        <is>
          <t>Mid-Market</t>
        </is>
      </c>
      <c r="H174" t="inlineStr">
        <is>
          <t>Partner</t>
        </is>
      </c>
      <c r="I174" t="inlineStr">
        <is>
          <t>Subscriptions</t>
        </is>
      </c>
      <c r="J174" t="inlineStr">
        <is>
          <t>Pro</t>
        </is>
      </c>
      <c r="K174" t="inlineStr">
        <is>
          <t>D. Iyer</t>
        </is>
      </c>
      <c r="L174" t="n">
        <v>44</v>
      </c>
      <c r="M174" s="3" t="n">
        <v>2383.69</v>
      </c>
      <c r="N174" s="3">
        <f>L174*M174</f>
        <v/>
      </c>
      <c r="O174" s="3">
        <f>N174*0.299</f>
        <v/>
      </c>
      <c r="P174" s="3">
        <f>N174-O174</f>
        <v/>
      </c>
      <c r="Q174" s="4">
        <f>IF(N174=0,0,P174/N174)</f>
        <v/>
      </c>
    </row>
    <row r="175">
      <c r="A175" t="inlineStr">
        <is>
          <t>ORD-1173</t>
        </is>
      </c>
      <c r="B175" s="2" t="n">
        <v>45506</v>
      </c>
      <c r="C175" t="n">
        <v>2024</v>
      </c>
      <c r="D175" t="inlineStr">
        <is>
          <t>Q3</t>
        </is>
      </c>
      <c r="E175" t="inlineStr">
        <is>
          <t>Aug</t>
        </is>
      </c>
      <c r="F175" t="inlineStr">
        <is>
          <t>East</t>
        </is>
      </c>
      <c r="G175" t="inlineStr">
        <is>
          <t>SMB</t>
        </is>
      </c>
      <c r="H175" t="inlineStr">
        <is>
          <t>Self-serve</t>
        </is>
      </c>
      <c r="I175" t="inlineStr">
        <is>
          <t>Subscriptions</t>
        </is>
      </c>
      <c r="J175" t="inlineStr">
        <is>
          <t>Starter</t>
        </is>
      </c>
      <c r="K175" t="inlineStr">
        <is>
          <t>D. Iyer</t>
        </is>
      </c>
      <c r="L175" t="n">
        <v>39</v>
      </c>
      <c r="M175" s="3" t="n">
        <v>604.48</v>
      </c>
      <c r="N175" s="3">
        <f>L175*M175</f>
        <v/>
      </c>
      <c r="O175" s="3">
        <f>N175*0.188</f>
        <v/>
      </c>
      <c r="P175" s="3">
        <f>N175-O175</f>
        <v/>
      </c>
      <c r="Q175" s="4">
        <f>IF(N175=0,0,P175/N175)</f>
        <v/>
      </c>
    </row>
    <row r="176">
      <c r="A176" t="inlineStr">
        <is>
          <t>ORD-1174</t>
        </is>
      </c>
      <c r="B176" s="2" t="n">
        <v>45575</v>
      </c>
      <c r="C176" t="n">
        <v>2024</v>
      </c>
      <c r="D176" t="inlineStr">
        <is>
          <t>Q4</t>
        </is>
      </c>
      <c r="E176" t="inlineStr">
        <is>
          <t>Oct</t>
        </is>
      </c>
      <c r="F176" t="inlineStr">
        <is>
          <t>East</t>
        </is>
      </c>
      <c r="G176" t="inlineStr">
        <is>
          <t>SMB</t>
        </is>
      </c>
      <c r="H176" t="inlineStr">
        <is>
          <t>Direct</t>
        </is>
      </c>
      <c r="I176" t="inlineStr">
        <is>
          <t>Subscriptions</t>
        </is>
      </c>
      <c r="J176" t="inlineStr">
        <is>
          <t>Enterprise</t>
        </is>
      </c>
      <c r="K176" t="inlineStr">
        <is>
          <t>C. Mehta</t>
        </is>
      </c>
      <c r="L176" t="n">
        <v>34</v>
      </c>
      <c r="M176" s="3" t="n">
        <v>2172.57</v>
      </c>
      <c r="N176" s="3">
        <f>L176*M176</f>
        <v/>
      </c>
      <c r="O176" s="3">
        <f>N176*0.315</f>
        <v/>
      </c>
      <c r="P176" s="3">
        <f>N176-O176</f>
        <v/>
      </c>
      <c r="Q176" s="4">
        <f>IF(N176=0,0,P176/N176)</f>
        <v/>
      </c>
    </row>
    <row r="177">
      <c r="A177" t="inlineStr">
        <is>
          <t>ORD-1175</t>
        </is>
      </c>
      <c r="B177" s="2" t="n">
        <v>45554</v>
      </c>
      <c r="C177" t="n">
        <v>2024</v>
      </c>
      <c r="D177" t="inlineStr">
        <is>
          <t>Q3</t>
        </is>
      </c>
      <c r="E177" t="inlineStr">
        <is>
          <t>Sep</t>
        </is>
      </c>
      <c r="F177" t="inlineStr">
        <is>
          <t>South</t>
        </is>
      </c>
      <c r="G177" t="inlineStr">
        <is>
          <t>Mid-Market</t>
        </is>
      </c>
      <c r="H177" t="inlineStr">
        <is>
          <t>Partner</t>
        </is>
      </c>
      <c r="I177" t="inlineStr">
        <is>
          <t>Subscriptions</t>
        </is>
      </c>
      <c r="J177" t="inlineStr">
        <is>
          <t>Pro</t>
        </is>
      </c>
      <c r="K177" t="inlineStr">
        <is>
          <t>A. Rao</t>
        </is>
      </c>
      <c r="L177" t="n">
        <v>6</v>
      </c>
      <c r="M177" s="3" t="n">
        <v>2382.11</v>
      </c>
      <c r="N177" s="3">
        <f>L177*M177</f>
        <v/>
      </c>
      <c r="O177" s="3">
        <f>N177*0.326</f>
        <v/>
      </c>
      <c r="P177" s="3">
        <f>N177-O177</f>
        <v/>
      </c>
      <c r="Q177" s="4">
        <f>IF(N177=0,0,P177/N177)</f>
        <v/>
      </c>
    </row>
    <row r="178">
      <c r="A178" t="inlineStr">
        <is>
          <t>ORD-1176</t>
        </is>
      </c>
      <c r="B178" s="2" t="n">
        <v>45494</v>
      </c>
      <c r="C178" t="n">
        <v>2024</v>
      </c>
      <c r="D178" t="inlineStr">
        <is>
          <t>Q3</t>
        </is>
      </c>
      <c r="E178" t="inlineStr">
        <is>
          <t>Jul</t>
        </is>
      </c>
      <c r="F178" t="inlineStr">
        <is>
          <t>North</t>
        </is>
      </c>
      <c r="G178" t="inlineStr">
        <is>
          <t>Mid-Market</t>
        </is>
      </c>
      <c r="H178" t="inlineStr">
        <is>
          <t>Direct</t>
        </is>
      </c>
      <c r="I178" t="inlineStr">
        <is>
          <t>Services</t>
        </is>
      </c>
      <c r="J178" t="inlineStr">
        <is>
          <t>Training</t>
        </is>
      </c>
      <c r="K178" t="inlineStr">
        <is>
          <t>A. Rao</t>
        </is>
      </c>
      <c r="L178" t="n">
        <v>16</v>
      </c>
      <c r="M178" s="3" t="n">
        <v>1149.57</v>
      </c>
      <c r="N178" s="3">
        <f>L178*M178</f>
        <v/>
      </c>
      <c r="O178" s="3">
        <f>N178*0.354</f>
        <v/>
      </c>
      <c r="P178" s="3">
        <f>N178-O178</f>
        <v/>
      </c>
      <c r="Q178" s="4">
        <f>IF(N178=0,0,P178/N178)</f>
        <v/>
      </c>
    </row>
    <row r="179">
      <c r="A179" t="inlineStr">
        <is>
          <t>ORD-1177</t>
        </is>
      </c>
      <c r="B179" s="2" t="n">
        <v>45342</v>
      </c>
      <c r="C179" t="n">
        <v>2024</v>
      </c>
      <c r="D179" t="inlineStr">
        <is>
          <t>Q1</t>
        </is>
      </c>
      <c r="E179" t="inlineStr">
        <is>
          <t>Feb</t>
        </is>
      </c>
      <c r="F179" t="inlineStr">
        <is>
          <t>East</t>
        </is>
      </c>
      <c r="G179" t="inlineStr">
        <is>
          <t>Mid-Market</t>
        </is>
      </c>
      <c r="H179" t="inlineStr">
        <is>
          <t>Self-serve</t>
        </is>
      </c>
      <c r="I179" t="inlineStr">
        <is>
          <t>Services</t>
        </is>
      </c>
      <c r="J179" t="inlineStr">
        <is>
          <t>Training</t>
        </is>
      </c>
      <c r="K179" t="inlineStr">
        <is>
          <t>B. Khan</t>
        </is>
      </c>
      <c r="L179" t="n">
        <v>10</v>
      </c>
      <c r="M179" s="3" t="n">
        <v>602.72</v>
      </c>
      <c r="N179" s="3">
        <f>L179*M179</f>
        <v/>
      </c>
      <c r="O179" s="3">
        <f>N179*0.222</f>
        <v/>
      </c>
      <c r="P179" s="3">
        <f>N179-O179</f>
        <v/>
      </c>
      <c r="Q179" s="4">
        <f>IF(N179=0,0,P179/N179)</f>
        <v/>
      </c>
    </row>
    <row r="180">
      <c r="A180" t="inlineStr">
        <is>
          <t>ORD-1178</t>
        </is>
      </c>
      <c r="B180" s="2" t="n">
        <v>45532</v>
      </c>
      <c r="C180" t="n">
        <v>2024</v>
      </c>
      <c r="D180" t="inlineStr">
        <is>
          <t>Q3</t>
        </is>
      </c>
      <c r="E180" t="inlineStr">
        <is>
          <t>Aug</t>
        </is>
      </c>
      <c r="F180" t="inlineStr">
        <is>
          <t>North</t>
        </is>
      </c>
      <c r="G180" t="inlineStr">
        <is>
          <t>Mid-Market</t>
        </is>
      </c>
      <c r="H180" t="inlineStr">
        <is>
          <t>Direct</t>
        </is>
      </c>
      <c r="I180" t="inlineStr">
        <is>
          <t>Add-ons</t>
        </is>
      </c>
      <c r="J180" t="inlineStr">
        <is>
          <t>Extra Seats</t>
        </is>
      </c>
      <c r="K180" t="inlineStr">
        <is>
          <t>B. Khan</t>
        </is>
      </c>
      <c r="L180" t="n">
        <v>1</v>
      </c>
      <c r="M180" s="3" t="n">
        <v>2292.89</v>
      </c>
      <c r="N180" s="3">
        <f>L180*M180</f>
        <v/>
      </c>
      <c r="O180" s="3">
        <f>N180*0.285</f>
        <v/>
      </c>
      <c r="P180" s="3">
        <f>N180-O180</f>
        <v/>
      </c>
      <c r="Q180" s="4">
        <f>IF(N180=0,0,P180/N180)</f>
        <v/>
      </c>
    </row>
    <row r="181">
      <c r="A181" t="inlineStr">
        <is>
          <t>ORD-1179</t>
        </is>
      </c>
      <c r="B181" s="2" t="n">
        <v>45603</v>
      </c>
      <c r="C181" t="n">
        <v>2024</v>
      </c>
      <c r="D181" t="inlineStr">
        <is>
          <t>Q4</t>
        </is>
      </c>
      <c r="E181" t="inlineStr">
        <is>
          <t>Nov</t>
        </is>
      </c>
      <c r="F181" t="inlineStr">
        <is>
          <t>South</t>
        </is>
      </c>
      <c r="G181" t="inlineStr">
        <is>
          <t>Mid-Market</t>
        </is>
      </c>
      <c r="H181" t="inlineStr">
        <is>
          <t>Direct</t>
        </is>
      </c>
      <c r="I181" t="inlineStr">
        <is>
          <t>Services</t>
        </is>
      </c>
      <c r="J181" t="inlineStr">
        <is>
          <t>Training</t>
        </is>
      </c>
      <c r="K181" t="inlineStr">
        <is>
          <t>A. Rao</t>
        </is>
      </c>
      <c r="L181" t="n">
        <v>8</v>
      </c>
      <c r="M181" s="3" t="n">
        <v>2007.58</v>
      </c>
      <c r="N181" s="3">
        <f>L181*M181</f>
        <v/>
      </c>
      <c r="O181" s="3">
        <f>N181*0.378</f>
        <v/>
      </c>
      <c r="P181" s="3">
        <f>N181-O181</f>
        <v/>
      </c>
      <c r="Q181" s="4">
        <f>IF(N181=0,0,P181/N181)</f>
        <v/>
      </c>
    </row>
    <row r="182">
      <c r="A182" t="inlineStr">
        <is>
          <t>ORD-1180</t>
        </is>
      </c>
      <c r="B182" s="2" t="n">
        <v>45619</v>
      </c>
      <c r="C182" t="n">
        <v>2024</v>
      </c>
      <c r="D182" t="inlineStr">
        <is>
          <t>Q4</t>
        </is>
      </c>
      <c r="E182" t="inlineStr">
        <is>
          <t>Nov</t>
        </is>
      </c>
      <c r="F182" t="inlineStr">
        <is>
          <t>West</t>
        </is>
      </c>
      <c r="G182" t="inlineStr">
        <is>
          <t>Enterprise</t>
        </is>
      </c>
      <c r="H182" t="inlineStr">
        <is>
          <t>Self-serve</t>
        </is>
      </c>
      <c r="I182" t="inlineStr">
        <is>
          <t>Services</t>
        </is>
      </c>
      <c r="J182" t="inlineStr">
        <is>
          <t>Training</t>
        </is>
      </c>
      <c r="K182" t="inlineStr">
        <is>
          <t>A. Rao</t>
        </is>
      </c>
      <c r="L182" t="n">
        <v>5</v>
      </c>
      <c r="M182" s="3" t="n">
        <v>543.89</v>
      </c>
      <c r="N182" s="3">
        <f>L182*M182</f>
        <v/>
      </c>
      <c r="O182" s="3">
        <f>N182*0.26</f>
        <v/>
      </c>
      <c r="P182" s="3">
        <f>N182-O182</f>
        <v/>
      </c>
      <c r="Q182" s="4">
        <f>IF(N182=0,0,P182/N182)</f>
        <v/>
      </c>
    </row>
    <row r="183">
      <c r="A183" t="inlineStr">
        <is>
          <t>ORD-1181</t>
        </is>
      </c>
      <c r="B183" s="2" t="n">
        <v>45586</v>
      </c>
      <c r="C183" t="n">
        <v>2024</v>
      </c>
      <c r="D183" t="inlineStr">
        <is>
          <t>Q4</t>
        </is>
      </c>
      <c r="E183" t="inlineStr">
        <is>
          <t>Oct</t>
        </is>
      </c>
      <c r="F183" t="inlineStr">
        <is>
          <t>North</t>
        </is>
      </c>
      <c r="G183" t="inlineStr">
        <is>
          <t>Enterprise</t>
        </is>
      </c>
      <c r="H183" t="inlineStr">
        <is>
          <t>Partner</t>
        </is>
      </c>
      <c r="I183" t="inlineStr">
        <is>
          <t>Subscriptions</t>
        </is>
      </c>
      <c r="J183" t="inlineStr">
        <is>
          <t>Enterprise</t>
        </is>
      </c>
      <c r="K183" t="inlineStr">
        <is>
          <t>B. Khan</t>
        </is>
      </c>
      <c r="L183" t="n">
        <v>10</v>
      </c>
      <c r="M183" s="3" t="n">
        <v>940.8</v>
      </c>
      <c r="N183" s="3">
        <f>L183*M183</f>
        <v/>
      </c>
      <c r="O183" s="3">
        <f>N183*0.279</f>
        <v/>
      </c>
      <c r="P183" s="3">
        <f>N183-O183</f>
        <v/>
      </c>
      <c r="Q183" s="4">
        <f>IF(N183=0,0,P183/N183)</f>
        <v/>
      </c>
    </row>
    <row r="184">
      <c r="A184" t="inlineStr">
        <is>
          <t>ORD-1182</t>
        </is>
      </c>
      <c r="B184" s="2" t="n">
        <v>45387</v>
      </c>
      <c r="C184" t="n">
        <v>2024</v>
      </c>
      <c r="D184" t="inlineStr">
        <is>
          <t>Q2</t>
        </is>
      </c>
      <c r="E184" t="inlineStr">
        <is>
          <t>Apr</t>
        </is>
      </c>
      <c r="F184" t="inlineStr">
        <is>
          <t>North</t>
        </is>
      </c>
      <c r="G184" t="inlineStr">
        <is>
          <t>Enterprise</t>
        </is>
      </c>
      <c r="H184" t="inlineStr">
        <is>
          <t>Self-serve</t>
        </is>
      </c>
      <c r="I184" t="inlineStr">
        <is>
          <t>Services</t>
        </is>
      </c>
      <c r="J184" t="inlineStr">
        <is>
          <t>Onboarding</t>
        </is>
      </c>
      <c r="K184" t="inlineStr">
        <is>
          <t>E. Nair</t>
        </is>
      </c>
      <c r="L184" t="n">
        <v>34</v>
      </c>
      <c r="M184" s="3" t="n">
        <v>2444.24</v>
      </c>
      <c r="N184" s="3">
        <f>L184*M184</f>
        <v/>
      </c>
      <c r="O184" s="3">
        <f>N184*0.214</f>
        <v/>
      </c>
      <c r="P184" s="3">
        <f>N184-O184</f>
        <v/>
      </c>
      <c r="Q184" s="4">
        <f>IF(N184=0,0,P184/N184)</f>
        <v/>
      </c>
    </row>
    <row r="185">
      <c r="A185" t="inlineStr">
        <is>
          <t>ORD-1183</t>
        </is>
      </c>
      <c r="B185" s="2" t="n">
        <v>45551</v>
      </c>
      <c r="C185" t="n">
        <v>2024</v>
      </c>
      <c r="D185" t="inlineStr">
        <is>
          <t>Q3</t>
        </is>
      </c>
      <c r="E185" t="inlineStr">
        <is>
          <t>Sep</t>
        </is>
      </c>
      <c r="F185" t="inlineStr">
        <is>
          <t>North</t>
        </is>
      </c>
      <c r="G185" t="inlineStr">
        <is>
          <t>Enterprise</t>
        </is>
      </c>
      <c r="H185" t="inlineStr">
        <is>
          <t>Partner</t>
        </is>
      </c>
      <c r="I185" t="inlineStr">
        <is>
          <t>Services</t>
        </is>
      </c>
      <c r="J185" t="inlineStr">
        <is>
          <t>Onboarding</t>
        </is>
      </c>
      <c r="K185" t="inlineStr">
        <is>
          <t>C. Mehta</t>
        </is>
      </c>
      <c r="L185" t="n">
        <v>25</v>
      </c>
      <c r="M185" s="3" t="n">
        <v>2221.33</v>
      </c>
      <c r="N185" s="3">
        <f>L185*M185</f>
        <v/>
      </c>
      <c r="O185" s="3">
        <f>N185*0.374</f>
        <v/>
      </c>
      <c r="P185" s="3">
        <f>N185-O185</f>
        <v/>
      </c>
      <c r="Q185" s="4">
        <f>IF(N185=0,0,P185/N185)</f>
        <v/>
      </c>
    </row>
    <row r="186">
      <c r="A186" t="inlineStr">
        <is>
          <t>ORD-1184</t>
        </is>
      </c>
      <c r="B186" s="2" t="n">
        <v>45300</v>
      </c>
      <c r="C186" t="n">
        <v>2024</v>
      </c>
      <c r="D186" t="inlineStr">
        <is>
          <t>Q1</t>
        </is>
      </c>
      <c r="E186" t="inlineStr">
        <is>
          <t>Jan</t>
        </is>
      </c>
      <c r="F186" t="inlineStr">
        <is>
          <t>North</t>
        </is>
      </c>
      <c r="G186" t="inlineStr">
        <is>
          <t>Enterprise</t>
        </is>
      </c>
      <c r="H186" t="inlineStr">
        <is>
          <t>Self-serve</t>
        </is>
      </c>
      <c r="I186" t="inlineStr">
        <is>
          <t>Add-ons</t>
        </is>
      </c>
      <c r="J186" t="inlineStr">
        <is>
          <t>Analytics</t>
        </is>
      </c>
      <c r="K186" t="inlineStr">
        <is>
          <t>C. Mehta</t>
        </is>
      </c>
      <c r="L186" t="n">
        <v>23</v>
      </c>
      <c r="M186" s="3" t="n">
        <v>830.48</v>
      </c>
      <c r="N186" s="3">
        <f>L186*M186</f>
        <v/>
      </c>
      <c r="O186" s="3">
        <f>N186*0.41</f>
        <v/>
      </c>
      <c r="P186" s="3">
        <f>N186-O186</f>
        <v/>
      </c>
      <c r="Q186" s="4">
        <f>IF(N186=0,0,P186/N186)</f>
        <v/>
      </c>
    </row>
    <row r="187">
      <c r="A187" t="inlineStr">
        <is>
          <t>ORD-1185</t>
        </is>
      </c>
      <c r="B187" s="2" t="n">
        <v>45472</v>
      </c>
      <c r="C187" t="n">
        <v>2024</v>
      </c>
      <c r="D187" t="inlineStr">
        <is>
          <t>Q2</t>
        </is>
      </c>
      <c r="E187" t="inlineStr">
        <is>
          <t>Jun</t>
        </is>
      </c>
      <c r="F187" t="inlineStr">
        <is>
          <t>West</t>
        </is>
      </c>
      <c r="G187" t="inlineStr">
        <is>
          <t>Enterprise</t>
        </is>
      </c>
      <c r="H187" t="inlineStr">
        <is>
          <t>Partner</t>
        </is>
      </c>
      <c r="I187" t="inlineStr">
        <is>
          <t>Services</t>
        </is>
      </c>
      <c r="J187" t="inlineStr">
        <is>
          <t>Training</t>
        </is>
      </c>
      <c r="K187" t="inlineStr">
        <is>
          <t>F. Shah</t>
        </is>
      </c>
      <c r="L187" t="n">
        <v>42</v>
      </c>
      <c r="M187" s="3" t="n">
        <v>685.2</v>
      </c>
      <c r="N187" s="3">
        <f>L187*M187</f>
        <v/>
      </c>
      <c r="O187" s="3">
        <f>N187*0.395</f>
        <v/>
      </c>
      <c r="P187" s="3">
        <f>N187-O187</f>
        <v/>
      </c>
      <c r="Q187" s="4">
        <f>IF(N187=0,0,P187/N187)</f>
        <v/>
      </c>
    </row>
    <row r="188">
      <c r="A188" t="inlineStr">
        <is>
          <t>ORD-1186</t>
        </is>
      </c>
      <c r="B188" s="2" t="n">
        <v>45361</v>
      </c>
      <c r="C188" t="n">
        <v>2024</v>
      </c>
      <c r="D188" t="inlineStr">
        <is>
          <t>Q1</t>
        </is>
      </c>
      <c r="E188" t="inlineStr">
        <is>
          <t>Mar</t>
        </is>
      </c>
      <c r="F188" t="inlineStr">
        <is>
          <t>North</t>
        </is>
      </c>
      <c r="G188" t="inlineStr">
        <is>
          <t>Mid-Market</t>
        </is>
      </c>
      <c r="H188" t="inlineStr">
        <is>
          <t>Direct</t>
        </is>
      </c>
      <c r="I188" t="inlineStr">
        <is>
          <t>Subscriptions</t>
        </is>
      </c>
      <c r="J188" t="inlineStr">
        <is>
          <t>Enterprise</t>
        </is>
      </c>
      <c r="K188" t="inlineStr">
        <is>
          <t>A. Rao</t>
        </is>
      </c>
      <c r="L188" t="n">
        <v>50</v>
      </c>
      <c r="M188" s="3" t="n">
        <v>2375.93</v>
      </c>
      <c r="N188" s="3">
        <f>L188*M188</f>
        <v/>
      </c>
      <c r="O188" s="3">
        <f>N188*0.213</f>
        <v/>
      </c>
      <c r="P188" s="3">
        <f>N188-O188</f>
        <v/>
      </c>
      <c r="Q188" s="4">
        <f>IF(N188=0,0,P188/N188)</f>
        <v/>
      </c>
    </row>
    <row r="189">
      <c r="A189" t="inlineStr">
        <is>
          <t>ORD-1187</t>
        </is>
      </c>
      <c r="B189" s="2" t="n">
        <v>45313</v>
      </c>
      <c r="C189" t="n">
        <v>2024</v>
      </c>
      <c r="D189" t="inlineStr">
        <is>
          <t>Q1</t>
        </is>
      </c>
      <c r="E189" t="inlineStr">
        <is>
          <t>Jan</t>
        </is>
      </c>
      <c r="F189" t="inlineStr">
        <is>
          <t>West</t>
        </is>
      </c>
      <c r="G189" t="inlineStr">
        <is>
          <t>Mid-Market</t>
        </is>
      </c>
      <c r="H189" t="inlineStr">
        <is>
          <t>Direct</t>
        </is>
      </c>
      <c r="I189" t="inlineStr">
        <is>
          <t>Add-ons</t>
        </is>
      </c>
      <c r="J189" t="inlineStr">
        <is>
          <t>Support Plus</t>
        </is>
      </c>
      <c r="K189" t="inlineStr">
        <is>
          <t>F. Shah</t>
        </is>
      </c>
      <c r="L189" t="n">
        <v>33</v>
      </c>
      <c r="M189" s="3" t="n">
        <v>1176.09</v>
      </c>
      <c r="N189" s="3">
        <f>L189*M189</f>
        <v/>
      </c>
      <c r="O189" s="3">
        <f>N189*0.393</f>
        <v/>
      </c>
      <c r="P189" s="3">
        <f>N189-O189</f>
        <v/>
      </c>
      <c r="Q189" s="4">
        <f>IF(N189=0,0,P189/N189)</f>
        <v/>
      </c>
    </row>
    <row r="190">
      <c r="A190" t="inlineStr">
        <is>
          <t>ORD-1188</t>
        </is>
      </c>
      <c r="B190" s="2" t="n">
        <v>45474</v>
      </c>
      <c r="C190" t="n">
        <v>2024</v>
      </c>
      <c r="D190" t="inlineStr">
        <is>
          <t>Q3</t>
        </is>
      </c>
      <c r="E190" t="inlineStr">
        <is>
          <t>Jul</t>
        </is>
      </c>
      <c r="F190" t="inlineStr">
        <is>
          <t>East</t>
        </is>
      </c>
      <c r="G190" t="inlineStr">
        <is>
          <t>Mid-Market</t>
        </is>
      </c>
      <c r="H190" t="inlineStr">
        <is>
          <t>Partner</t>
        </is>
      </c>
      <c r="I190" t="inlineStr">
        <is>
          <t>Subscriptions</t>
        </is>
      </c>
      <c r="J190" t="inlineStr">
        <is>
          <t>Enterprise</t>
        </is>
      </c>
      <c r="K190" t="inlineStr">
        <is>
          <t>F. Shah</t>
        </is>
      </c>
      <c r="L190" t="n">
        <v>22</v>
      </c>
      <c r="M190" s="3" t="n">
        <v>901.08</v>
      </c>
      <c r="N190" s="3">
        <f>L190*M190</f>
        <v/>
      </c>
      <c r="O190" s="3">
        <f>N190*0.318</f>
        <v/>
      </c>
      <c r="P190" s="3">
        <f>N190-O190</f>
        <v/>
      </c>
      <c r="Q190" s="4">
        <f>IF(N190=0,0,P190/N190)</f>
        <v/>
      </c>
    </row>
    <row r="191">
      <c r="A191" t="inlineStr">
        <is>
          <t>ORD-1189</t>
        </is>
      </c>
      <c r="B191" s="2" t="n">
        <v>45489</v>
      </c>
      <c r="C191" t="n">
        <v>2024</v>
      </c>
      <c r="D191" t="inlineStr">
        <is>
          <t>Q3</t>
        </is>
      </c>
      <c r="E191" t="inlineStr">
        <is>
          <t>Jul</t>
        </is>
      </c>
      <c r="F191" t="inlineStr">
        <is>
          <t>East</t>
        </is>
      </c>
      <c r="G191" t="inlineStr">
        <is>
          <t>Enterprise</t>
        </is>
      </c>
      <c r="H191" t="inlineStr">
        <is>
          <t>Partner</t>
        </is>
      </c>
      <c r="I191" t="inlineStr">
        <is>
          <t>Add-ons</t>
        </is>
      </c>
      <c r="J191" t="inlineStr">
        <is>
          <t>Analytics</t>
        </is>
      </c>
      <c r="K191" t="inlineStr">
        <is>
          <t>A. Rao</t>
        </is>
      </c>
      <c r="L191" t="n">
        <v>32</v>
      </c>
      <c r="M191" s="3" t="n">
        <v>1822.55</v>
      </c>
      <c r="N191" s="3">
        <f>L191*M191</f>
        <v/>
      </c>
      <c r="O191" s="3">
        <f>N191*0.232</f>
        <v/>
      </c>
      <c r="P191" s="3">
        <f>N191-O191</f>
        <v/>
      </c>
      <c r="Q191" s="4">
        <f>IF(N191=0,0,P191/N191)</f>
        <v/>
      </c>
    </row>
    <row r="192">
      <c r="A192" t="inlineStr">
        <is>
          <t>ORD-1190</t>
        </is>
      </c>
      <c r="B192" s="2" t="n">
        <v>45332</v>
      </c>
      <c r="C192" t="n">
        <v>2024</v>
      </c>
      <c r="D192" t="inlineStr">
        <is>
          <t>Q1</t>
        </is>
      </c>
      <c r="E192" t="inlineStr">
        <is>
          <t>Feb</t>
        </is>
      </c>
      <c r="F192" t="inlineStr">
        <is>
          <t>East</t>
        </is>
      </c>
      <c r="G192" t="inlineStr">
        <is>
          <t>SMB</t>
        </is>
      </c>
      <c r="H192" t="inlineStr">
        <is>
          <t>Direct</t>
        </is>
      </c>
      <c r="I192" t="inlineStr">
        <is>
          <t>Add-ons</t>
        </is>
      </c>
      <c r="J192" t="inlineStr">
        <is>
          <t>Extra Seats</t>
        </is>
      </c>
      <c r="K192" t="inlineStr">
        <is>
          <t>C. Mehta</t>
        </is>
      </c>
      <c r="L192" t="n">
        <v>12</v>
      </c>
      <c r="M192" s="3" t="n">
        <v>1500.04</v>
      </c>
      <c r="N192" s="3">
        <f>L192*M192</f>
        <v/>
      </c>
      <c r="O192" s="3">
        <f>N192*0.252</f>
        <v/>
      </c>
      <c r="P192" s="3">
        <f>N192-O192</f>
        <v/>
      </c>
      <c r="Q192" s="4">
        <f>IF(N192=0,0,P192/N192)</f>
        <v/>
      </c>
    </row>
    <row r="193">
      <c r="A193" t="inlineStr">
        <is>
          <t>ORD-1191</t>
        </is>
      </c>
      <c r="B193" s="2" t="n">
        <v>45448</v>
      </c>
      <c r="C193" t="n">
        <v>2024</v>
      </c>
      <c r="D193" t="inlineStr">
        <is>
          <t>Q2</t>
        </is>
      </c>
      <c r="E193" t="inlineStr">
        <is>
          <t>Jun</t>
        </is>
      </c>
      <c r="F193" t="inlineStr">
        <is>
          <t>West</t>
        </is>
      </c>
      <c r="G193" t="inlineStr">
        <is>
          <t>Mid-Market</t>
        </is>
      </c>
      <c r="H193" t="inlineStr">
        <is>
          <t>Partner</t>
        </is>
      </c>
      <c r="I193" t="inlineStr">
        <is>
          <t>Add-ons</t>
        </is>
      </c>
      <c r="J193" t="inlineStr">
        <is>
          <t>Extra Seats</t>
        </is>
      </c>
      <c r="K193" t="inlineStr">
        <is>
          <t>A. Rao</t>
        </is>
      </c>
      <c r="L193" t="n">
        <v>46</v>
      </c>
      <c r="M193" s="3" t="n">
        <v>1237.46</v>
      </c>
      <c r="N193" s="3">
        <f>L193*M193</f>
        <v/>
      </c>
      <c r="O193" s="3">
        <f>N193*0.232</f>
        <v/>
      </c>
      <c r="P193" s="3">
        <f>N193-O193</f>
        <v/>
      </c>
      <c r="Q193" s="4">
        <f>IF(N193=0,0,P193/N193)</f>
        <v/>
      </c>
    </row>
    <row r="194">
      <c r="A194" t="inlineStr">
        <is>
          <t>ORD-1192</t>
        </is>
      </c>
      <c r="B194" s="2" t="n">
        <v>45472</v>
      </c>
      <c r="C194" t="n">
        <v>2024</v>
      </c>
      <c r="D194" t="inlineStr">
        <is>
          <t>Q2</t>
        </is>
      </c>
      <c r="E194" t="inlineStr">
        <is>
          <t>Jun</t>
        </is>
      </c>
      <c r="F194" t="inlineStr">
        <is>
          <t>North</t>
        </is>
      </c>
      <c r="G194" t="inlineStr">
        <is>
          <t>SMB</t>
        </is>
      </c>
      <c r="H194" t="inlineStr">
        <is>
          <t>Self-serve</t>
        </is>
      </c>
      <c r="I194" t="inlineStr">
        <is>
          <t>Services</t>
        </is>
      </c>
      <c r="J194" t="inlineStr">
        <is>
          <t>Training</t>
        </is>
      </c>
      <c r="K194" t="inlineStr">
        <is>
          <t>F. Shah</t>
        </is>
      </c>
      <c r="L194" t="n">
        <v>18</v>
      </c>
      <c r="M194" s="3" t="n">
        <v>1706.83</v>
      </c>
      <c r="N194" s="3">
        <f>L194*M194</f>
        <v/>
      </c>
      <c r="O194" s="3">
        <f>N194*0.328</f>
        <v/>
      </c>
      <c r="P194" s="3">
        <f>N194-O194</f>
        <v/>
      </c>
      <c r="Q194" s="4">
        <f>IF(N194=0,0,P194/N194)</f>
        <v/>
      </c>
    </row>
    <row r="195">
      <c r="A195" t="inlineStr">
        <is>
          <t>ORD-1193</t>
        </is>
      </c>
      <c r="B195" s="2" t="n">
        <v>45554</v>
      </c>
      <c r="C195" t="n">
        <v>2024</v>
      </c>
      <c r="D195" t="inlineStr">
        <is>
          <t>Q3</t>
        </is>
      </c>
      <c r="E195" t="inlineStr">
        <is>
          <t>Sep</t>
        </is>
      </c>
      <c r="F195" t="inlineStr">
        <is>
          <t>West</t>
        </is>
      </c>
      <c r="G195" t="inlineStr">
        <is>
          <t>SMB</t>
        </is>
      </c>
      <c r="H195" t="inlineStr">
        <is>
          <t>Direct</t>
        </is>
      </c>
      <c r="I195" t="inlineStr">
        <is>
          <t>Services</t>
        </is>
      </c>
      <c r="J195" t="inlineStr">
        <is>
          <t>Onboarding</t>
        </is>
      </c>
      <c r="K195" t="inlineStr">
        <is>
          <t>A. Rao</t>
        </is>
      </c>
      <c r="L195" t="n">
        <v>2</v>
      </c>
      <c r="M195" s="3" t="n">
        <v>614.11</v>
      </c>
      <c r="N195" s="3">
        <f>L195*M195</f>
        <v/>
      </c>
      <c r="O195" s="3">
        <f>N195*0.379</f>
        <v/>
      </c>
      <c r="P195" s="3">
        <f>N195-O195</f>
        <v/>
      </c>
      <c r="Q195" s="4">
        <f>IF(N195=0,0,P195/N195)</f>
        <v/>
      </c>
    </row>
    <row r="196">
      <c r="A196" t="inlineStr">
        <is>
          <t>ORD-1194</t>
        </is>
      </c>
      <c r="B196" s="2" t="n">
        <v>45622</v>
      </c>
      <c r="C196" t="n">
        <v>2024</v>
      </c>
      <c r="D196" t="inlineStr">
        <is>
          <t>Q4</t>
        </is>
      </c>
      <c r="E196" t="inlineStr">
        <is>
          <t>Nov</t>
        </is>
      </c>
      <c r="F196" t="inlineStr">
        <is>
          <t>North</t>
        </is>
      </c>
      <c r="G196" t="inlineStr">
        <is>
          <t>Enterprise</t>
        </is>
      </c>
      <c r="H196" t="inlineStr">
        <is>
          <t>Direct</t>
        </is>
      </c>
      <c r="I196" t="inlineStr">
        <is>
          <t>Add-ons</t>
        </is>
      </c>
      <c r="J196" t="inlineStr">
        <is>
          <t>Support Plus</t>
        </is>
      </c>
      <c r="K196" t="inlineStr">
        <is>
          <t>F. Shah</t>
        </is>
      </c>
      <c r="L196" t="n">
        <v>25</v>
      </c>
      <c r="M196" s="3" t="n">
        <v>2388.83</v>
      </c>
      <c r="N196" s="3">
        <f>L196*M196</f>
        <v/>
      </c>
      <c r="O196" s="3">
        <f>N196*0.315</f>
        <v/>
      </c>
      <c r="P196" s="3">
        <f>N196-O196</f>
        <v/>
      </c>
      <c r="Q196" s="4">
        <f>IF(N196=0,0,P196/N196)</f>
        <v/>
      </c>
    </row>
    <row r="197">
      <c r="A197" t="inlineStr">
        <is>
          <t>ORD-1195</t>
        </is>
      </c>
      <c r="B197" s="2" t="n">
        <v>45481</v>
      </c>
      <c r="C197" t="n">
        <v>2024</v>
      </c>
      <c r="D197" t="inlineStr">
        <is>
          <t>Q3</t>
        </is>
      </c>
      <c r="E197" t="inlineStr">
        <is>
          <t>Jul</t>
        </is>
      </c>
      <c r="F197" t="inlineStr">
        <is>
          <t>South</t>
        </is>
      </c>
      <c r="G197" t="inlineStr">
        <is>
          <t>Enterprise</t>
        </is>
      </c>
      <c r="H197" t="inlineStr">
        <is>
          <t>Partner</t>
        </is>
      </c>
      <c r="I197" t="inlineStr">
        <is>
          <t>Add-ons</t>
        </is>
      </c>
      <c r="J197" t="inlineStr">
        <is>
          <t>Support Plus</t>
        </is>
      </c>
      <c r="K197" t="inlineStr">
        <is>
          <t>D. Iyer</t>
        </is>
      </c>
      <c r="L197" t="n">
        <v>49</v>
      </c>
      <c r="M197" s="3" t="n">
        <v>469.15</v>
      </c>
      <c r="N197" s="3">
        <f>L197*M197</f>
        <v/>
      </c>
      <c r="O197" s="3">
        <f>N197*0.356</f>
        <v/>
      </c>
      <c r="P197" s="3">
        <f>N197-O197</f>
        <v/>
      </c>
      <c r="Q197" s="4">
        <f>IF(N197=0,0,P197/N197)</f>
        <v/>
      </c>
    </row>
    <row r="198">
      <c r="A198" t="inlineStr">
        <is>
          <t>ORD-1196</t>
        </is>
      </c>
      <c r="B198" s="2" t="n">
        <v>45434</v>
      </c>
      <c r="C198" t="n">
        <v>2024</v>
      </c>
      <c r="D198" t="inlineStr">
        <is>
          <t>Q2</t>
        </is>
      </c>
      <c r="E198" t="inlineStr">
        <is>
          <t>May</t>
        </is>
      </c>
      <c r="F198" t="inlineStr">
        <is>
          <t>West</t>
        </is>
      </c>
      <c r="G198" t="inlineStr">
        <is>
          <t>Enterprise</t>
        </is>
      </c>
      <c r="H198" t="inlineStr">
        <is>
          <t>Partner</t>
        </is>
      </c>
      <c r="I198" t="inlineStr">
        <is>
          <t>Subscriptions</t>
        </is>
      </c>
      <c r="J198" t="inlineStr">
        <is>
          <t>Starter</t>
        </is>
      </c>
      <c r="K198" t="inlineStr">
        <is>
          <t>E. Nair</t>
        </is>
      </c>
      <c r="L198" t="n">
        <v>2</v>
      </c>
      <c r="M198" s="3" t="n">
        <v>1918.48</v>
      </c>
      <c r="N198" s="3">
        <f>L198*M198</f>
        <v/>
      </c>
      <c r="O198" s="3">
        <f>N198*0.415</f>
        <v/>
      </c>
      <c r="P198" s="3">
        <f>N198-O198</f>
        <v/>
      </c>
      <c r="Q198" s="4">
        <f>IF(N198=0,0,P198/N198)</f>
        <v/>
      </c>
    </row>
    <row r="199">
      <c r="A199" t="inlineStr">
        <is>
          <t>ORD-1197</t>
        </is>
      </c>
      <c r="B199" s="2" t="n">
        <v>45425</v>
      </c>
      <c r="C199" t="n">
        <v>2024</v>
      </c>
      <c r="D199" t="inlineStr">
        <is>
          <t>Q2</t>
        </is>
      </c>
      <c r="E199" t="inlineStr">
        <is>
          <t>May</t>
        </is>
      </c>
      <c r="F199" t="inlineStr">
        <is>
          <t>East</t>
        </is>
      </c>
      <c r="G199" t="inlineStr">
        <is>
          <t>Enterprise</t>
        </is>
      </c>
      <c r="H199" t="inlineStr">
        <is>
          <t>Partner</t>
        </is>
      </c>
      <c r="I199" t="inlineStr">
        <is>
          <t>Services</t>
        </is>
      </c>
      <c r="J199" t="inlineStr">
        <is>
          <t>Training</t>
        </is>
      </c>
      <c r="K199" t="inlineStr">
        <is>
          <t>B. Khan</t>
        </is>
      </c>
      <c r="L199" t="n">
        <v>14</v>
      </c>
      <c r="M199" s="3" t="n">
        <v>2492</v>
      </c>
      <c r="N199" s="3">
        <f>L199*M199</f>
        <v/>
      </c>
      <c r="O199" s="3">
        <f>N199*0.413</f>
        <v/>
      </c>
      <c r="P199" s="3">
        <f>N199-O199</f>
        <v/>
      </c>
      <c r="Q199" s="4">
        <f>IF(N199=0,0,P199/N199)</f>
        <v/>
      </c>
    </row>
    <row r="200">
      <c r="A200" t="inlineStr">
        <is>
          <t>ORD-1198</t>
        </is>
      </c>
      <c r="B200" s="2" t="n">
        <v>45329</v>
      </c>
      <c r="C200" t="n">
        <v>2024</v>
      </c>
      <c r="D200" t="inlineStr">
        <is>
          <t>Q1</t>
        </is>
      </c>
      <c r="E200" t="inlineStr">
        <is>
          <t>Feb</t>
        </is>
      </c>
      <c r="F200" t="inlineStr">
        <is>
          <t>North</t>
        </is>
      </c>
      <c r="G200" t="inlineStr">
        <is>
          <t>Enterprise</t>
        </is>
      </c>
      <c r="H200" t="inlineStr">
        <is>
          <t>Partner</t>
        </is>
      </c>
      <c r="I200" t="inlineStr">
        <is>
          <t>Add-ons</t>
        </is>
      </c>
      <c r="J200" t="inlineStr">
        <is>
          <t>Analytics</t>
        </is>
      </c>
      <c r="K200" t="inlineStr">
        <is>
          <t>F. Shah</t>
        </is>
      </c>
      <c r="L200" t="n">
        <v>46</v>
      </c>
      <c r="M200" s="3" t="n">
        <v>1279.24</v>
      </c>
      <c r="N200" s="3">
        <f>L200*M200</f>
        <v/>
      </c>
      <c r="O200" s="3">
        <f>N200*0.346</f>
        <v/>
      </c>
      <c r="P200" s="3">
        <f>N200-O200</f>
        <v/>
      </c>
      <c r="Q200" s="4">
        <f>IF(N200=0,0,P200/N200)</f>
        <v/>
      </c>
    </row>
    <row r="201">
      <c r="A201" t="inlineStr">
        <is>
          <t>ORD-1199</t>
        </is>
      </c>
      <c r="B201" s="2" t="n">
        <v>45325</v>
      </c>
      <c r="C201" t="n">
        <v>2024</v>
      </c>
      <c r="D201" t="inlineStr">
        <is>
          <t>Q1</t>
        </is>
      </c>
      <c r="E201" t="inlineStr">
        <is>
          <t>Feb</t>
        </is>
      </c>
      <c r="F201" t="inlineStr">
        <is>
          <t>South</t>
        </is>
      </c>
      <c r="G201" t="inlineStr">
        <is>
          <t>Mid-Market</t>
        </is>
      </c>
      <c r="H201" t="inlineStr">
        <is>
          <t>Self-serve</t>
        </is>
      </c>
      <c r="I201" t="inlineStr">
        <is>
          <t>Services</t>
        </is>
      </c>
      <c r="J201" t="inlineStr">
        <is>
          <t>Training</t>
        </is>
      </c>
      <c r="K201" t="inlineStr">
        <is>
          <t>B. Khan</t>
        </is>
      </c>
      <c r="L201" t="n">
        <v>20</v>
      </c>
      <c r="M201" s="3" t="n">
        <v>2173</v>
      </c>
      <c r="N201" s="3">
        <f>L201*M201</f>
        <v/>
      </c>
      <c r="O201" s="3">
        <f>N201*0.414</f>
        <v/>
      </c>
      <c r="P201" s="3">
        <f>N201-O201</f>
        <v/>
      </c>
      <c r="Q201" s="4">
        <f>IF(N201=0,0,P201/N201)</f>
        <v/>
      </c>
    </row>
    <row r="202">
      <c r="A202" t="inlineStr">
        <is>
          <t>ORD-1200</t>
        </is>
      </c>
      <c r="B202" s="2" t="n">
        <v>45394</v>
      </c>
      <c r="C202" t="n">
        <v>2024</v>
      </c>
      <c r="D202" t="inlineStr">
        <is>
          <t>Q2</t>
        </is>
      </c>
      <c r="E202" t="inlineStr">
        <is>
          <t>Apr</t>
        </is>
      </c>
      <c r="F202" t="inlineStr">
        <is>
          <t>East</t>
        </is>
      </c>
      <c r="G202" t="inlineStr">
        <is>
          <t>Mid-Market</t>
        </is>
      </c>
      <c r="H202" t="inlineStr">
        <is>
          <t>Self-serve</t>
        </is>
      </c>
      <c r="I202" t="inlineStr">
        <is>
          <t>Subscriptions</t>
        </is>
      </c>
      <c r="J202" t="inlineStr">
        <is>
          <t>Starter</t>
        </is>
      </c>
      <c r="K202" t="inlineStr">
        <is>
          <t>B. Khan</t>
        </is>
      </c>
      <c r="L202" t="n">
        <v>32</v>
      </c>
      <c r="M202" s="3" t="n">
        <v>357.82</v>
      </c>
      <c r="N202" s="3">
        <f>L202*M202</f>
        <v/>
      </c>
      <c r="O202" s="3">
        <f>N202*0.266</f>
        <v/>
      </c>
      <c r="P202" s="3">
        <f>N202-O202</f>
        <v/>
      </c>
      <c r="Q202" s="4">
        <f>IF(N202=0,0,P202/N202)</f>
        <v/>
      </c>
    </row>
    <row r="203">
      <c r="A203" t="inlineStr">
        <is>
          <t>ORD-1201</t>
        </is>
      </c>
      <c r="B203" s="2" t="n">
        <v>45336</v>
      </c>
      <c r="C203" t="n">
        <v>2024</v>
      </c>
      <c r="D203" t="inlineStr">
        <is>
          <t>Q1</t>
        </is>
      </c>
      <c r="E203" t="inlineStr">
        <is>
          <t>Feb</t>
        </is>
      </c>
      <c r="F203" t="inlineStr">
        <is>
          <t>West</t>
        </is>
      </c>
      <c r="G203" t="inlineStr">
        <is>
          <t>Enterprise</t>
        </is>
      </c>
      <c r="H203" t="inlineStr">
        <is>
          <t>Partner</t>
        </is>
      </c>
      <c r="I203" t="inlineStr">
        <is>
          <t>Subscriptions</t>
        </is>
      </c>
      <c r="J203" t="inlineStr">
        <is>
          <t>Pro</t>
        </is>
      </c>
      <c r="K203" t="inlineStr">
        <is>
          <t>D. Iyer</t>
        </is>
      </c>
      <c r="L203" t="n">
        <v>26</v>
      </c>
      <c r="M203" s="3" t="n">
        <v>2499.11</v>
      </c>
      <c r="N203" s="3">
        <f>L203*M203</f>
        <v/>
      </c>
      <c r="O203" s="3">
        <f>N203*0.203</f>
        <v/>
      </c>
      <c r="P203" s="3">
        <f>N203-O203</f>
        <v/>
      </c>
      <c r="Q203" s="4">
        <f>IF(N203=0,0,P203/N203)</f>
        <v/>
      </c>
    </row>
    <row r="204">
      <c r="A204" t="inlineStr">
        <is>
          <t>ORD-1202</t>
        </is>
      </c>
      <c r="B204" s="2" t="n">
        <v>45329</v>
      </c>
      <c r="C204" t="n">
        <v>2024</v>
      </c>
      <c r="D204" t="inlineStr">
        <is>
          <t>Q1</t>
        </is>
      </c>
      <c r="E204" t="inlineStr">
        <is>
          <t>Feb</t>
        </is>
      </c>
      <c r="F204" t="inlineStr">
        <is>
          <t>West</t>
        </is>
      </c>
      <c r="G204" t="inlineStr">
        <is>
          <t>Enterprise</t>
        </is>
      </c>
      <c r="H204" t="inlineStr">
        <is>
          <t>Self-serve</t>
        </is>
      </c>
      <c r="I204" t="inlineStr">
        <is>
          <t>Subscriptions</t>
        </is>
      </c>
      <c r="J204" t="inlineStr">
        <is>
          <t>Pro</t>
        </is>
      </c>
      <c r="K204" t="inlineStr">
        <is>
          <t>C. Mehta</t>
        </is>
      </c>
      <c r="L204" t="n">
        <v>42</v>
      </c>
      <c r="M204" s="3" t="n">
        <v>463.16</v>
      </c>
      <c r="N204" s="3">
        <f>L204*M204</f>
        <v/>
      </c>
      <c r="O204" s="3">
        <f>N204*0.411</f>
        <v/>
      </c>
      <c r="P204" s="3">
        <f>N204-O204</f>
        <v/>
      </c>
      <c r="Q204" s="4">
        <f>IF(N204=0,0,P204/N204)</f>
        <v/>
      </c>
    </row>
    <row r="205">
      <c r="A205" t="inlineStr">
        <is>
          <t>ORD-1203</t>
        </is>
      </c>
      <c r="B205" s="2" t="n">
        <v>45574</v>
      </c>
      <c r="C205" t="n">
        <v>2024</v>
      </c>
      <c r="D205" t="inlineStr">
        <is>
          <t>Q4</t>
        </is>
      </c>
      <c r="E205" t="inlineStr">
        <is>
          <t>Oct</t>
        </is>
      </c>
      <c r="F205" t="inlineStr">
        <is>
          <t>West</t>
        </is>
      </c>
      <c r="G205" t="inlineStr">
        <is>
          <t>Enterprise</t>
        </is>
      </c>
      <c r="H205" t="inlineStr">
        <is>
          <t>Direct</t>
        </is>
      </c>
      <c r="I205" t="inlineStr">
        <is>
          <t>Services</t>
        </is>
      </c>
      <c r="J205" t="inlineStr">
        <is>
          <t>Onboarding</t>
        </is>
      </c>
      <c r="K205" t="inlineStr">
        <is>
          <t>A. Rao</t>
        </is>
      </c>
      <c r="L205" t="n">
        <v>50</v>
      </c>
      <c r="M205" s="3" t="n">
        <v>2425.78</v>
      </c>
      <c r="N205" s="3">
        <f>L205*M205</f>
        <v/>
      </c>
      <c r="O205" s="3">
        <f>N205*0.295</f>
        <v/>
      </c>
      <c r="P205" s="3">
        <f>N205-O205</f>
        <v/>
      </c>
      <c r="Q205" s="4">
        <f>IF(N205=0,0,P205/N205)</f>
        <v/>
      </c>
    </row>
    <row r="206">
      <c r="A206" t="inlineStr">
        <is>
          <t>ORD-1204</t>
        </is>
      </c>
      <c r="B206" s="2" t="n">
        <v>45447</v>
      </c>
      <c r="C206" t="n">
        <v>2024</v>
      </c>
      <c r="D206" t="inlineStr">
        <is>
          <t>Q2</t>
        </is>
      </c>
      <c r="E206" t="inlineStr">
        <is>
          <t>Jun</t>
        </is>
      </c>
      <c r="F206" t="inlineStr">
        <is>
          <t>South</t>
        </is>
      </c>
      <c r="G206" t="inlineStr">
        <is>
          <t>Mid-Market</t>
        </is>
      </c>
      <c r="H206" t="inlineStr">
        <is>
          <t>Self-serve</t>
        </is>
      </c>
      <c r="I206" t="inlineStr">
        <is>
          <t>Subscriptions</t>
        </is>
      </c>
      <c r="J206" t="inlineStr">
        <is>
          <t>Starter</t>
        </is>
      </c>
      <c r="K206" t="inlineStr">
        <is>
          <t>C. Mehta</t>
        </is>
      </c>
      <c r="L206" t="n">
        <v>21</v>
      </c>
      <c r="M206" s="3" t="n">
        <v>2356.42</v>
      </c>
      <c r="N206" s="3">
        <f>L206*M206</f>
        <v/>
      </c>
      <c r="O206" s="3">
        <f>N206*0.196</f>
        <v/>
      </c>
      <c r="P206" s="3">
        <f>N206-O206</f>
        <v/>
      </c>
      <c r="Q206" s="4">
        <f>IF(N206=0,0,P206/N206)</f>
        <v/>
      </c>
    </row>
    <row r="207">
      <c r="A207" t="inlineStr">
        <is>
          <t>ORD-1205</t>
        </is>
      </c>
      <c r="B207" s="2" t="n">
        <v>45420</v>
      </c>
      <c r="C207" t="n">
        <v>2024</v>
      </c>
      <c r="D207" t="inlineStr">
        <is>
          <t>Q2</t>
        </is>
      </c>
      <c r="E207" t="inlineStr">
        <is>
          <t>May</t>
        </is>
      </c>
      <c r="F207" t="inlineStr">
        <is>
          <t>East</t>
        </is>
      </c>
      <c r="G207" t="inlineStr">
        <is>
          <t>Enterprise</t>
        </is>
      </c>
      <c r="H207" t="inlineStr">
        <is>
          <t>Self-serve</t>
        </is>
      </c>
      <c r="I207" t="inlineStr">
        <is>
          <t>Subscriptions</t>
        </is>
      </c>
      <c r="J207" t="inlineStr">
        <is>
          <t>Enterprise</t>
        </is>
      </c>
      <c r="K207" t="inlineStr">
        <is>
          <t>A. Rao</t>
        </is>
      </c>
      <c r="L207" t="n">
        <v>36</v>
      </c>
      <c r="M207" s="3" t="n">
        <v>903.79</v>
      </c>
      <c r="N207" s="3">
        <f>L207*M207</f>
        <v/>
      </c>
      <c r="O207" s="3">
        <f>N207*0.299</f>
        <v/>
      </c>
      <c r="P207" s="3">
        <f>N207-O207</f>
        <v/>
      </c>
      <c r="Q207" s="4">
        <f>IF(N207=0,0,P207/N207)</f>
        <v/>
      </c>
    </row>
    <row r="208">
      <c r="A208" t="inlineStr">
        <is>
          <t>ORD-1206</t>
        </is>
      </c>
      <c r="B208" s="2" t="n">
        <v>45378</v>
      </c>
      <c r="C208" t="n">
        <v>2024</v>
      </c>
      <c r="D208" t="inlineStr">
        <is>
          <t>Q1</t>
        </is>
      </c>
      <c r="E208" t="inlineStr">
        <is>
          <t>Mar</t>
        </is>
      </c>
      <c r="F208" t="inlineStr">
        <is>
          <t>East</t>
        </is>
      </c>
      <c r="G208" t="inlineStr">
        <is>
          <t>Enterprise</t>
        </is>
      </c>
      <c r="H208" t="inlineStr">
        <is>
          <t>Direct</t>
        </is>
      </c>
      <c r="I208" t="inlineStr">
        <is>
          <t>Services</t>
        </is>
      </c>
      <c r="J208" t="inlineStr">
        <is>
          <t>Onboarding</t>
        </is>
      </c>
      <c r="K208" t="inlineStr">
        <is>
          <t>A. Rao</t>
        </is>
      </c>
      <c r="L208" t="n">
        <v>11</v>
      </c>
      <c r="M208" s="3" t="n">
        <v>1749.21</v>
      </c>
      <c r="N208" s="3">
        <f>L208*M208</f>
        <v/>
      </c>
      <c r="O208" s="3">
        <f>N208*0.426</f>
        <v/>
      </c>
      <c r="P208" s="3">
        <f>N208-O208</f>
        <v/>
      </c>
      <c r="Q208" s="4">
        <f>IF(N208=0,0,P208/N208)</f>
        <v/>
      </c>
    </row>
    <row r="209">
      <c r="A209" t="inlineStr">
        <is>
          <t>ORD-1207</t>
        </is>
      </c>
      <c r="B209" s="2" t="n">
        <v>45620</v>
      </c>
      <c r="C209" t="n">
        <v>2024</v>
      </c>
      <c r="D209" t="inlineStr">
        <is>
          <t>Q4</t>
        </is>
      </c>
      <c r="E209" t="inlineStr">
        <is>
          <t>Nov</t>
        </is>
      </c>
      <c r="F209" t="inlineStr">
        <is>
          <t>West</t>
        </is>
      </c>
      <c r="G209" t="inlineStr">
        <is>
          <t>Enterprise</t>
        </is>
      </c>
      <c r="H209" t="inlineStr">
        <is>
          <t>Self-serve</t>
        </is>
      </c>
      <c r="I209" t="inlineStr">
        <is>
          <t>Services</t>
        </is>
      </c>
      <c r="J209" t="inlineStr">
        <is>
          <t>Training</t>
        </is>
      </c>
      <c r="K209" t="inlineStr">
        <is>
          <t>A. Rao</t>
        </is>
      </c>
      <c r="L209" t="n">
        <v>42</v>
      </c>
      <c r="M209" s="3" t="n">
        <v>763.78</v>
      </c>
      <c r="N209" s="3">
        <f>L209*M209</f>
        <v/>
      </c>
      <c r="O209" s="3">
        <f>N209*0.301</f>
        <v/>
      </c>
      <c r="P209" s="3">
        <f>N209-O209</f>
        <v/>
      </c>
      <c r="Q209" s="4">
        <f>IF(N209=0,0,P209/N209)</f>
        <v/>
      </c>
    </row>
    <row r="210">
      <c r="A210" t="inlineStr">
        <is>
          <t>ORD-1208</t>
        </is>
      </c>
      <c r="B210" s="2" t="n">
        <v>45613</v>
      </c>
      <c r="C210" t="n">
        <v>2024</v>
      </c>
      <c r="D210" t="inlineStr">
        <is>
          <t>Q4</t>
        </is>
      </c>
      <c r="E210" t="inlineStr">
        <is>
          <t>Nov</t>
        </is>
      </c>
      <c r="F210" t="inlineStr">
        <is>
          <t>West</t>
        </is>
      </c>
      <c r="G210" t="inlineStr">
        <is>
          <t>SMB</t>
        </is>
      </c>
      <c r="H210" t="inlineStr">
        <is>
          <t>Self-serve</t>
        </is>
      </c>
      <c r="I210" t="inlineStr">
        <is>
          <t>Services</t>
        </is>
      </c>
      <c r="J210" t="inlineStr">
        <is>
          <t>Training</t>
        </is>
      </c>
      <c r="K210" t="inlineStr">
        <is>
          <t>D. Iyer</t>
        </is>
      </c>
      <c r="L210" t="n">
        <v>42</v>
      </c>
      <c r="M210" s="3" t="n">
        <v>2404.63</v>
      </c>
      <c r="N210" s="3">
        <f>L210*M210</f>
        <v/>
      </c>
      <c r="O210" s="3">
        <f>N210*0.361</f>
        <v/>
      </c>
      <c r="P210" s="3">
        <f>N210-O210</f>
        <v/>
      </c>
      <c r="Q210" s="4">
        <f>IF(N210=0,0,P210/N210)</f>
        <v/>
      </c>
    </row>
    <row r="211">
      <c r="A211" t="inlineStr">
        <is>
          <t>ORD-1209</t>
        </is>
      </c>
      <c r="B211" s="2" t="n">
        <v>45329</v>
      </c>
      <c r="C211" t="n">
        <v>2024</v>
      </c>
      <c r="D211" t="inlineStr">
        <is>
          <t>Q1</t>
        </is>
      </c>
      <c r="E211" t="inlineStr">
        <is>
          <t>Feb</t>
        </is>
      </c>
      <c r="F211" t="inlineStr">
        <is>
          <t>West</t>
        </is>
      </c>
      <c r="G211" t="inlineStr">
        <is>
          <t>Mid-Market</t>
        </is>
      </c>
      <c r="H211" t="inlineStr">
        <is>
          <t>Direct</t>
        </is>
      </c>
      <c r="I211" t="inlineStr">
        <is>
          <t>Services</t>
        </is>
      </c>
      <c r="J211" t="inlineStr">
        <is>
          <t>Onboarding</t>
        </is>
      </c>
      <c r="K211" t="inlineStr">
        <is>
          <t>C. Mehta</t>
        </is>
      </c>
      <c r="L211" t="n">
        <v>11</v>
      </c>
      <c r="M211" s="3" t="n">
        <v>1267.13</v>
      </c>
      <c r="N211" s="3">
        <f>L211*M211</f>
        <v/>
      </c>
      <c r="O211" s="3">
        <f>N211*0.268</f>
        <v/>
      </c>
      <c r="P211" s="3">
        <f>N211-O211</f>
        <v/>
      </c>
      <c r="Q211" s="4">
        <f>IF(N211=0,0,P211/N211)</f>
        <v/>
      </c>
    </row>
    <row r="212">
      <c r="A212" t="inlineStr">
        <is>
          <t>ORD-1210</t>
        </is>
      </c>
      <c r="B212" s="2" t="n">
        <v>45452</v>
      </c>
      <c r="C212" t="n">
        <v>2024</v>
      </c>
      <c r="D212" t="inlineStr">
        <is>
          <t>Q2</t>
        </is>
      </c>
      <c r="E212" t="inlineStr">
        <is>
          <t>Jun</t>
        </is>
      </c>
      <c r="F212" t="inlineStr">
        <is>
          <t>East</t>
        </is>
      </c>
      <c r="G212" t="inlineStr">
        <is>
          <t>Mid-Market</t>
        </is>
      </c>
      <c r="H212" t="inlineStr">
        <is>
          <t>Direct</t>
        </is>
      </c>
      <c r="I212" t="inlineStr">
        <is>
          <t>Services</t>
        </is>
      </c>
      <c r="J212" t="inlineStr">
        <is>
          <t>Training</t>
        </is>
      </c>
      <c r="K212" t="inlineStr">
        <is>
          <t>C. Mehta</t>
        </is>
      </c>
      <c r="L212" t="n">
        <v>47</v>
      </c>
      <c r="M212" s="3" t="n">
        <v>2473.65</v>
      </c>
      <c r="N212" s="3">
        <f>L212*M212</f>
        <v/>
      </c>
      <c r="O212" s="3">
        <f>N212*0.296</f>
        <v/>
      </c>
      <c r="P212" s="3">
        <f>N212-O212</f>
        <v/>
      </c>
      <c r="Q212" s="4">
        <f>IF(N212=0,0,P212/N212)</f>
        <v/>
      </c>
    </row>
    <row r="213">
      <c r="A213" t="inlineStr">
        <is>
          <t>ORD-1211</t>
        </is>
      </c>
      <c r="B213" s="2" t="n">
        <v>45346</v>
      </c>
      <c r="C213" t="n">
        <v>2024</v>
      </c>
      <c r="D213" t="inlineStr">
        <is>
          <t>Q1</t>
        </is>
      </c>
      <c r="E213" t="inlineStr">
        <is>
          <t>Feb</t>
        </is>
      </c>
      <c r="F213" t="inlineStr">
        <is>
          <t>West</t>
        </is>
      </c>
      <c r="G213" t="inlineStr">
        <is>
          <t>SMB</t>
        </is>
      </c>
      <c r="H213" t="inlineStr">
        <is>
          <t>Direct</t>
        </is>
      </c>
      <c r="I213" t="inlineStr">
        <is>
          <t>Add-ons</t>
        </is>
      </c>
      <c r="J213" t="inlineStr">
        <is>
          <t>Analytics</t>
        </is>
      </c>
      <c r="K213" t="inlineStr">
        <is>
          <t>A. Rao</t>
        </is>
      </c>
      <c r="L213" t="n">
        <v>30</v>
      </c>
      <c r="M213" s="3" t="n">
        <v>569.55</v>
      </c>
      <c r="N213" s="3">
        <f>L213*M213</f>
        <v/>
      </c>
      <c r="O213" s="3">
        <f>N213*0.435</f>
        <v/>
      </c>
      <c r="P213" s="3">
        <f>N213-O213</f>
        <v/>
      </c>
      <c r="Q213" s="4">
        <f>IF(N213=0,0,P213/N213)</f>
        <v/>
      </c>
    </row>
    <row r="214">
      <c r="A214" t="inlineStr">
        <is>
          <t>ORD-1212</t>
        </is>
      </c>
      <c r="B214" s="2" t="n">
        <v>45488</v>
      </c>
      <c r="C214" t="n">
        <v>2024</v>
      </c>
      <c r="D214" t="inlineStr">
        <is>
          <t>Q3</t>
        </is>
      </c>
      <c r="E214" t="inlineStr">
        <is>
          <t>Jul</t>
        </is>
      </c>
      <c r="F214" t="inlineStr">
        <is>
          <t>South</t>
        </is>
      </c>
      <c r="G214" t="inlineStr">
        <is>
          <t>Mid-Market</t>
        </is>
      </c>
      <c r="H214" t="inlineStr">
        <is>
          <t>Self-serve</t>
        </is>
      </c>
      <c r="I214" t="inlineStr">
        <is>
          <t>Services</t>
        </is>
      </c>
      <c r="J214" t="inlineStr">
        <is>
          <t>Training</t>
        </is>
      </c>
      <c r="K214" t="inlineStr">
        <is>
          <t>F. Shah</t>
        </is>
      </c>
      <c r="L214" t="n">
        <v>16</v>
      </c>
      <c r="M214" s="3" t="n">
        <v>2417.91</v>
      </c>
      <c r="N214" s="3">
        <f>L214*M214</f>
        <v/>
      </c>
      <c r="O214" s="3">
        <f>N214*0.356</f>
        <v/>
      </c>
      <c r="P214" s="3">
        <f>N214-O214</f>
        <v/>
      </c>
      <c r="Q214" s="4">
        <f>IF(N214=0,0,P214/N214)</f>
        <v/>
      </c>
    </row>
    <row r="215">
      <c r="A215" t="inlineStr">
        <is>
          <t>ORD-1213</t>
        </is>
      </c>
      <c r="B215" s="2" t="n">
        <v>45373</v>
      </c>
      <c r="C215" t="n">
        <v>2024</v>
      </c>
      <c r="D215" t="inlineStr">
        <is>
          <t>Q1</t>
        </is>
      </c>
      <c r="E215" t="inlineStr">
        <is>
          <t>Mar</t>
        </is>
      </c>
      <c r="F215" t="inlineStr">
        <is>
          <t>East</t>
        </is>
      </c>
      <c r="G215" t="inlineStr">
        <is>
          <t>Mid-Market</t>
        </is>
      </c>
      <c r="H215" t="inlineStr">
        <is>
          <t>Direct</t>
        </is>
      </c>
      <c r="I215" t="inlineStr">
        <is>
          <t>Add-ons</t>
        </is>
      </c>
      <c r="J215" t="inlineStr">
        <is>
          <t>Extra Seats</t>
        </is>
      </c>
      <c r="K215" t="inlineStr">
        <is>
          <t>A. Rao</t>
        </is>
      </c>
      <c r="L215" t="n">
        <v>30</v>
      </c>
      <c r="M215" s="3" t="n">
        <v>1397.27</v>
      </c>
      <c r="N215" s="3">
        <f>L215*M215</f>
        <v/>
      </c>
      <c r="O215" s="3">
        <f>N215*0.166</f>
        <v/>
      </c>
      <c r="P215" s="3">
        <f>N215-O215</f>
        <v/>
      </c>
      <c r="Q215" s="4">
        <f>IF(N215=0,0,P215/N215)</f>
        <v/>
      </c>
    </row>
    <row r="216">
      <c r="A216" t="inlineStr">
        <is>
          <t>ORD-1214</t>
        </is>
      </c>
      <c r="B216" s="2" t="n">
        <v>45550</v>
      </c>
      <c r="C216" t="n">
        <v>2024</v>
      </c>
      <c r="D216" t="inlineStr">
        <is>
          <t>Q3</t>
        </is>
      </c>
      <c r="E216" t="inlineStr">
        <is>
          <t>Sep</t>
        </is>
      </c>
      <c r="F216" t="inlineStr">
        <is>
          <t>North</t>
        </is>
      </c>
      <c r="G216" t="inlineStr">
        <is>
          <t>SMB</t>
        </is>
      </c>
      <c r="H216" t="inlineStr">
        <is>
          <t>Partner</t>
        </is>
      </c>
      <c r="I216" t="inlineStr">
        <is>
          <t>Add-ons</t>
        </is>
      </c>
      <c r="J216" t="inlineStr">
        <is>
          <t>Analytics</t>
        </is>
      </c>
      <c r="K216" t="inlineStr">
        <is>
          <t>D. Iyer</t>
        </is>
      </c>
      <c r="L216" t="n">
        <v>14</v>
      </c>
      <c r="M216" s="3" t="n">
        <v>1583.36</v>
      </c>
      <c r="N216" s="3">
        <f>L216*M216</f>
        <v/>
      </c>
      <c r="O216" s="3">
        <f>N216*0.271</f>
        <v/>
      </c>
      <c r="P216" s="3">
        <f>N216-O216</f>
        <v/>
      </c>
      <c r="Q216" s="4">
        <f>IF(N216=0,0,P216/N216)</f>
        <v/>
      </c>
    </row>
    <row r="217">
      <c r="A217" t="inlineStr">
        <is>
          <t>ORD-1215</t>
        </is>
      </c>
      <c r="B217" s="2" t="n">
        <v>45626</v>
      </c>
      <c r="C217" t="n">
        <v>2024</v>
      </c>
      <c r="D217" t="inlineStr">
        <is>
          <t>Q4</t>
        </is>
      </c>
      <c r="E217" t="inlineStr">
        <is>
          <t>Nov</t>
        </is>
      </c>
      <c r="F217" t="inlineStr">
        <is>
          <t>North</t>
        </is>
      </c>
      <c r="G217" t="inlineStr">
        <is>
          <t>Mid-Market</t>
        </is>
      </c>
      <c r="H217" t="inlineStr">
        <is>
          <t>Direct</t>
        </is>
      </c>
      <c r="I217" t="inlineStr">
        <is>
          <t>Services</t>
        </is>
      </c>
      <c r="J217" t="inlineStr">
        <is>
          <t>Training</t>
        </is>
      </c>
      <c r="K217" t="inlineStr">
        <is>
          <t>C. Mehta</t>
        </is>
      </c>
      <c r="L217" t="n">
        <v>19</v>
      </c>
      <c r="M217" s="3" t="n">
        <v>1480.72</v>
      </c>
      <c r="N217" s="3">
        <f>L217*M217</f>
        <v/>
      </c>
      <c r="O217" s="3">
        <f>N217*0.232</f>
        <v/>
      </c>
      <c r="P217" s="3">
        <f>N217-O217</f>
        <v/>
      </c>
      <c r="Q217" s="4">
        <f>IF(N217=0,0,P217/N217)</f>
        <v/>
      </c>
    </row>
    <row r="218">
      <c r="A218" t="inlineStr">
        <is>
          <t>ORD-1216</t>
        </is>
      </c>
      <c r="B218" s="2" t="n">
        <v>45498</v>
      </c>
      <c r="C218" t="n">
        <v>2024</v>
      </c>
      <c r="D218" t="inlineStr">
        <is>
          <t>Q3</t>
        </is>
      </c>
      <c r="E218" t="inlineStr">
        <is>
          <t>Jul</t>
        </is>
      </c>
      <c r="F218" t="inlineStr">
        <is>
          <t>South</t>
        </is>
      </c>
      <c r="G218" t="inlineStr">
        <is>
          <t>Mid-Market</t>
        </is>
      </c>
      <c r="H218" t="inlineStr">
        <is>
          <t>Self-serve</t>
        </is>
      </c>
      <c r="I218" t="inlineStr">
        <is>
          <t>Add-ons</t>
        </is>
      </c>
      <c r="J218" t="inlineStr">
        <is>
          <t>Analytics</t>
        </is>
      </c>
      <c r="K218" t="inlineStr">
        <is>
          <t>C. Mehta</t>
        </is>
      </c>
      <c r="L218" t="n">
        <v>26</v>
      </c>
      <c r="M218" s="3" t="n">
        <v>412.55</v>
      </c>
      <c r="N218" s="3">
        <f>L218*M218</f>
        <v/>
      </c>
      <c r="O218" s="3">
        <f>N218*0.428</f>
        <v/>
      </c>
      <c r="P218" s="3">
        <f>N218-O218</f>
        <v/>
      </c>
      <c r="Q218" s="4">
        <f>IF(N218=0,0,P218/N218)</f>
        <v/>
      </c>
    </row>
    <row r="219">
      <c r="A219" t="inlineStr">
        <is>
          <t>ORD-1217</t>
        </is>
      </c>
      <c r="B219" s="2" t="n">
        <v>45550</v>
      </c>
      <c r="C219" t="n">
        <v>2024</v>
      </c>
      <c r="D219" t="inlineStr">
        <is>
          <t>Q3</t>
        </is>
      </c>
      <c r="E219" t="inlineStr">
        <is>
          <t>Sep</t>
        </is>
      </c>
      <c r="F219" t="inlineStr">
        <is>
          <t>North</t>
        </is>
      </c>
      <c r="G219" t="inlineStr">
        <is>
          <t>SMB</t>
        </is>
      </c>
      <c r="H219" t="inlineStr">
        <is>
          <t>Direct</t>
        </is>
      </c>
      <c r="I219" t="inlineStr">
        <is>
          <t>Add-ons</t>
        </is>
      </c>
      <c r="J219" t="inlineStr">
        <is>
          <t>Extra Seats</t>
        </is>
      </c>
      <c r="K219" t="inlineStr">
        <is>
          <t>D. Iyer</t>
        </is>
      </c>
      <c r="L219" t="n">
        <v>18</v>
      </c>
      <c r="M219" s="3" t="n">
        <v>2115.68</v>
      </c>
      <c r="N219" s="3">
        <f>L219*M219</f>
        <v/>
      </c>
      <c r="O219" s="3">
        <f>N219*0.338</f>
        <v/>
      </c>
      <c r="P219" s="3">
        <f>N219-O219</f>
        <v/>
      </c>
      <c r="Q219" s="4">
        <f>IF(N219=0,0,P219/N219)</f>
        <v/>
      </c>
    </row>
    <row r="220">
      <c r="A220" t="inlineStr">
        <is>
          <t>ORD-1218</t>
        </is>
      </c>
      <c r="B220" s="2" t="n">
        <v>45465</v>
      </c>
      <c r="C220" t="n">
        <v>2024</v>
      </c>
      <c r="D220" t="inlineStr">
        <is>
          <t>Q2</t>
        </is>
      </c>
      <c r="E220" t="inlineStr">
        <is>
          <t>Jun</t>
        </is>
      </c>
      <c r="F220" t="inlineStr">
        <is>
          <t>West</t>
        </is>
      </c>
      <c r="G220" t="inlineStr">
        <is>
          <t>Enterprise</t>
        </is>
      </c>
      <c r="H220" t="inlineStr">
        <is>
          <t>Direct</t>
        </is>
      </c>
      <c r="I220" t="inlineStr">
        <is>
          <t>Services</t>
        </is>
      </c>
      <c r="J220" t="inlineStr">
        <is>
          <t>Training</t>
        </is>
      </c>
      <c r="K220" t="inlineStr">
        <is>
          <t>A. Rao</t>
        </is>
      </c>
      <c r="L220" t="n">
        <v>49</v>
      </c>
      <c r="M220" s="3" t="n">
        <v>617.39</v>
      </c>
      <c r="N220" s="3">
        <f>L220*M220</f>
        <v/>
      </c>
      <c r="O220" s="3">
        <f>N220*0.438</f>
        <v/>
      </c>
      <c r="P220" s="3">
        <f>N220-O220</f>
        <v/>
      </c>
      <c r="Q220" s="4">
        <f>IF(N220=0,0,P220/N220)</f>
        <v/>
      </c>
    </row>
    <row r="221">
      <c r="A221" t="inlineStr">
        <is>
          <t>ORD-1219</t>
        </is>
      </c>
      <c r="B221" s="2" t="n">
        <v>45462</v>
      </c>
      <c r="C221" t="n">
        <v>2024</v>
      </c>
      <c r="D221" t="inlineStr">
        <is>
          <t>Q2</t>
        </is>
      </c>
      <c r="E221" t="inlineStr">
        <is>
          <t>Jun</t>
        </is>
      </c>
      <c r="F221" t="inlineStr">
        <is>
          <t>South</t>
        </is>
      </c>
      <c r="G221" t="inlineStr">
        <is>
          <t>Mid-Market</t>
        </is>
      </c>
      <c r="H221" t="inlineStr">
        <is>
          <t>Self-serve</t>
        </is>
      </c>
      <c r="I221" t="inlineStr">
        <is>
          <t>Add-ons</t>
        </is>
      </c>
      <c r="J221" t="inlineStr">
        <is>
          <t>Extra Seats</t>
        </is>
      </c>
      <c r="K221" t="inlineStr">
        <is>
          <t>C. Mehta</t>
        </is>
      </c>
      <c r="L221" t="n">
        <v>30</v>
      </c>
      <c r="M221" s="3" t="n">
        <v>627.67</v>
      </c>
      <c r="N221" s="3">
        <f>L221*M221</f>
        <v/>
      </c>
      <c r="O221" s="3">
        <f>N221*0.401</f>
        <v/>
      </c>
      <c r="P221" s="3">
        <f>N221-O221</f>
        <v/>
      </c>
      <c r="Q221" s="4">
        <f>IF(N221=0,0,P221/N221)</f>
        <v/>
      </c>
    </row>
    <row r="222">
      <c r="A222" t="inlineStr">
        <is>
          <t>ORD-1220</t>
        </is>
      </c>
      <c r="B222" s="2" t="n">
        <v>45607</v>
      </c>
      <c r="C222" t="n">
        <v>2024</v>
      </c>
      <c r="D222" t="inlineStr">
        <is>
          <t>Q4</t>
        </is>
      </c>
      <c r="E222" t="inlineStr">
        <is>
          <t>Nov</t>
        </is>
      </c>
      <c r="F222" t="inlineStr">
        <is>
          <t>West</t>
        </is>
      </c>
      <c r="G222" t="inlineStr">
        <is>
          <t>Enterprise</t>
        </is>
      </c>
      <c r="H222" t="inlineStr">
        <is>
          <t>Self-serve</t>
        </is>
      </c>
      <c r="I222" t="inlineStr">
        <is>
          <t>Services</t>
        </is>
      </c>
      <c r="J222" t="inlineStr">
        <is>
          <t>Training</t>
        </is>
      </c>
      <c r="K222" t="inlineStr">
        <is>
          <t>C. Mehta</t>
        </is>
      </c>
      <c r="L222" t="n">
        <v>38</v>
      </c>
      <c r="M222" s="3" t="n">
        <v>1040.02</v>
      </c>
      <c r="N222" s="3">
        <f>L222*M222</f>
        <v/>
      </c>
      <c r="O222" s="3">
        <f>N222*0.308</f>
        <v/>
      </c>
      <c r="P222" s="3">
        <f>N222-O222</f>
        <v/>
      </c>
      <c r="Q222" s="4">
        <f>IF(N222=0,0,P222/N222)</f>
        <v/>
      </c>
    </row>
    <row r="223">
      <c r="A223" t="inlineStr">
        <is>
          <t>ORD-1221</t>
        </is>
      </c>
      <c r="B223" s="2" t="n">
        <v>45300</v>
      </c>
      <c r="C223" t="n">
        <v>2024</v>
      </c>
      <c r="D223" t="inlineStr">
        <is>
          <t>Q1</t>
        </is>
      </c>
      <c r="E223" t="inlineStr">
        <is>
          <t>Jan</t>
        </is>
      </c>
      <c r="F223" t="inlineStr">
        <is>
          <t>West</t>
        </is>
      </c>
      <c r="G223" t="inlineStr">
        <is>
          <t>Enterprise</t>
        </is>
      </c>
      <c r="H223" t="inlineStr">
        <is>
          <t>Partner</t>
        </is>
      </c>
      <c r="I223" t="inlineStr">
        <is>
          <t>Add-ons</t>
        </is>
      </c>
      <c r="J223" t="inlineStr">
        <is>
          <t>Support Plus</t>
        </is>
      </c>
      <c r="K223" t="inlineStr">
        <is>
          <t>F. Shah</t>
        </is>
      </c>
      <c r="L223" t="n">
        <v>44</v>
      </c>
      <c r="M223" s="3" t="n">
        <v>541.13</v>
      </c>
      <c r="N223" s="3">
        <f>L223*M223</f>
        <v/>
      </c>
      <c r="O223" s="3">
        <f>N223*0.188</f>
        <v/>
      </c>
      <c r="P223" s="3">
        <f>N223-O223</f>
        <v/>
      </c>
      <c r="Q223" s="4">
        <f>IF(N223=0,0,P223/N223)</f>
        <v/>
      </c>
    </row>
    <row r="224">
      <c r="A224" t="inlineStr">
        <is>
          <t>ORD-1222</t>
        </is>
      </c>
      <c r="B224" s="2" t="n">
        <v>45614</v>
      </c>
      <c r="C224" t="n">
        <v>2024</v>
      </c>
      <c r="D224" t="inlineStr">
        <is>
          <t>Q4</t>
        </is>
      </c>
      <c r="E224" t="inlineStr">
        <is>
          <t>Nov</t>
        </is>
      </c>
      <c r="F224" t="inlineStr">
        <is>
          <t>South</t>
        </is>
      </c>
      <c r="G224" t="inlineStr">
        <is>
          <t>Enterprise</t>
        </is>
      </c>
      <c r="H224" t="inlineStr">
        <is>
          <t>Direct</t>
        </is>
      </c>
      <c r="I224" t="inlineStr">
        <is>
          <t>Subscriptions</t>
        </is>
      </c>
      <c r="J224" t="inlineStr">
        <is>
          <t>Enterprise</t>
        </is>
      </c>
      <c r="K224" t="inlineStr">
        <is>
          <t>E. Nair</t>
        </is>
      </c>
      <c r="L224" t="n">
        <v>31</v>
      </c>
      <c r="M224" s="3" t="n">
        <v>884.17</v>
      </c>
      <c r="N224" s="3">
        <f>L224*M224</f>
        <v/>
      </c>
      <c r="O224" s="3">
        <f>N224*0.306</f>
        <v/>
      </c>
      <c r="P224" s="3">
        <f>N224-O224</f>
        <v/>
      </c>
      <c r="Q224" s="4">
        <f>IF(N224=0,0,P224/N224)</f>
        <v/>
      </c>
    </row>
    <row r="225">
      <c r="A225" t="inlineStr">
        <is>
          <t>ORD-1223</t>
        </is>
      </c>
      <c r="B225" s="2" t="n">
        <v>45560</v>
      </c>
      <c r="C225" t="n">
        <v>2024</v>
      </c>
      <c r="D225" t="inlineStr">
        <is>
          <t>Q3</t>
        </is>
      </c>
      <c r="E225" t="inlineStr">
        <is>
          <t>Sep</t>
        </is>
      </c>
      <c r="F225" t="inlineStr">
        <is>
          <t>South</t>
        </is>
      </c>
      <c r="G225" t="inlineStr">
        <is>
          <t>SMB</t>
        </is>
      </c>
      <c r="H225" t="inlineStr">
        <is>
          <t>Self-serve</t>
        </is>
      </c>
      <c r="I225" t="inlineStr">
        <is>
          <t>Services</t>
        </is>
      </c>
      <c r="J225" t="inlineStr">
        <is>
          <t>Training</t>
        </is>
      </c>
      <c r="K225" t="inlineStr">
        <is>
          <t>F. Shah</t>
        </is>
      </c>
      <c r="L225" t="n">
        <v>10</v>
      </c>
      <c r="M225" s="3" t="n">
        <v>2107.65</v>
      </c>
      <c r="N225" s="3">
        <f>L225*M225</f>
        <v/>
      </c>
      <c r="O225" s="3">
        <f>N225*0.417</f>
        <v/>
      </c>
      <c r="P225" s="3">
        <f>N225-O225</f>
        <v/>
      </c>
      <c r="Q225" s="4">
        <f>IF(N225=0,0,P225/N225)</f>
        <v/>
      </c>
    </row>
    <row r="226">
      <c r="A226" t="inlineStr">
        <is>
          <t>ORD-1224</t>
        </is>
      </c>
      <c r="B226" s="2" t="n">
        <v>45301</v>
      </c>
      <c r="C226" t="n">
        <v>2024</v>
      </c>
      <c r="D226" t="inlineStr">
        <is>
          <t>Q1</t>
        </is>
      </c>
      <c r="E226" t="inlineStr">
        <is>
          <t>Jan</t>
        </is>
      </c>
      <c r="F226" t="inlineStr">
        <is>
          <t>South</t>
        </is>
      </c>
      <c r="G226" t="inlineStr">
        <is>
          <t>Mid-Market</t>
        </is>
      </c>
      <c r="H226" t="inlineStr">
        <is>
          <t>Self-serve</t>
        </is>
      </c>
      <c r="I226" t="inlineStr">
        <is>
          <t>Add-ons</t>
        </is>
      </c>
      <c r="J226" t="inlineStr">
        <is>
          <t>Support Plus</t>
        </is>
      </c>
      <c r="K226" t="inlineStr">
        <is>
          <t>E. Nair</t>
        </is>
      </c>
      <c r="L226" t="n">
        <v>27</v>
      </c>
      <c r="M226" s="3" t="n">
        <v>633.15</v>
      </c>
      <c r="N226" s="3">
        <f>L226*M226</f>
        <v/>
      </c>
      <c r="O226" s="3">
        <f>N226*0.174</f>
        <v/>
      </c>
      <c r="P226" s="3">
        <f>N226-O226</f>
        <v/>
      </c>
      <c r="Q226" s="4">
        <f>IF(N226=0,0,P226/N226)</f>
        <v/>
      </c>
    </row>
    <row r="227">
      <c r="A227" t="inlineStr">
        <is>
          <t>ORD-1225</t>
        </is>
      </c>
      <c r="B227" s="2" t="n">
        <v>45323</v>
      </c>
      <c r="C227" t="n">
        <v>2024</v>
      </c>
      <c r="D227" t="inlineStr">
        <is>
          <t>Q1</t>
        </is>
      </c>
      <c r="E227" t="inlineStr">
        <is>
          <t>Feb</t>
        </is>
      </c>
      <c r="F227" t="inlineStr">
        <is>
          <t>East</t>
        </is>
      </c>
      <c r="G227" t="inlineStr">
        <is>
          <t>Enterprise</t>
        </is>
      </c>
      <c r="H227" t="inlineStr">
        <is>
          <t>Partner</t>
        </is>
      </c>
      <c r="I227" t="inlineStr">
        <is>
          <t>Services</t>
        </is>
      </c>
      <c r="J227" t="inlineStr">
        <is>
          <t>Onboarding</t>
        </is>
      </c>
      <c r="K227" t="inlineStr">
        <is>
          <t>E. Nair</t>
        </is>
      </c>
      <c r="L227" t="n">
        <v>34</v>
      </c>
      <c r="M227" s="3" t="n">
        <v>756.15</v>
      </c>
      <c r="N227" s="3">
        <f>L227*M227</f>
        <v/>
      </c>
      <c r="O227" s="3">
        <f>N227*0.337</f>
        <v/>
      </c>
      <c r="P227" s="3">
        <f>N227-O227</f>
        <v/>
      </c>
      <c r="Q227" s="4">
        <f>IF(N227=0,0,P227/N227)</f>
        <v/>
      </c>
    </row>
    <row r="228">
      <c r="A228" t="inlineStr">
        <is>
          <t>ORD-1226</t>
        </is>
      </c>
      <c r="B228" s="2" t="n">
        <v>45380</v>
      </c>
      <c r="C228" t="n">
        <v>2024</v>
      </c>
      <c r="D228" t="inlineStr">
        <is>
          <t>Q1</t>
        </is>
      </c>
      <c r="E228" t="inlineStr">
        <is>
          <t>Mar</t>
        </is>
      </c>
      <c r="F228" t="inlineStr">
        <is>
          <t>East</t>
        </is>
      </c>
      <c r="G228" t="inlineStr">
        <is>
          <t>Enterprise</t>
        </is>
      </c>
      <c r="H228" t="inlineStr">
        <is>
          <t>Partner</t>
        </is>
      </c>
      <c r="I228" t="inlineStr">
        <is>
          <t>Add-ons</t>
        </is>
      </c>
      <c r="J228" t="inlineStr">
        <is>
          <t>Extra Seats</t>
        </is>
      </c>
      <c r="K228" t="inlineStr">
        <is>
          <t>B. Khan</t>
        </is>
      </c>
      <c r="L228" t="n">
        <v>22</v>
      </c>
      <c r="M228" s="3" t="n">
        <v>1501.8</v>
      </c>
      <c r="N228" s="3">
        <f>L228*M228</f>
        <v/>
      </c>
      <c r="O228" s="3">
        <f>N228*0.163</f>
        <v/>
      </c>
      <c r="P228" s="3">
        <f>N228-O228</f>
        <v/>
      </c>
      <c r="Q228" s="4">
        <f>IF(N228=0,0,P228/N228)</f>
        <v/>
      </c>
    </row>
    <row r="229">
      <c r="A229" t="inlineStr">
        <is>
          <t>ORD-1227</t>
        </is>
      </c>
      <c r="B229" s="2" t="n">
        <v>45434</v>
      </c>
      <c r="C229" t="n">
        <v>2024</v>
      </c>
      <c r="D229" t="inlineStr">
        <is>
          <t>Q2</t>
        </is>
      </c>
      <c r="E229" t="inlineStr">
        <is>
          <t>May</t>
        </is>
      </c>
      <c r="F229" t="inlineStr">
        <is>
          <t>East</t>
        </is>
      </c>
      <c r="G229" t="inlineStr">
        <is>
          <t>Mid-Market</t>
        </is>
      </c>
      <c r="H229" t="inlineStr">
        <is>
          <t>Self-serve</t>
        </is>
      </c>
      <c r="I229" t="inlineStr">
        <is>
          <t>Services</t>
        </is>
      </c>
      <c r="J229" t="inlineStr">
        <is>
          <t>Training</t>
        </is>
      </c>
      <c r="K229" t="inlineStr">
        <is>
          <t>B. Khan</t>
        </is>
      </c>
      <c r="L229" t="n">
        <v>15</v>
      </c>
      <c r="M229" s="3" t="n">
        <v>2371.27</v>
      </c>
      <c r="N229" s="3">
        <f>L229*M229</f>
        <v/>
      </c>
      <c r="O229" s="3">
        <f>N229*0.243</f>
        <v/>
      </c>
      <c r="P229" s="3">
        <f>N229-O229</f>
        <v/>
      </c>
      <c r="Q229" s="4">
        <f>IF(N229=0,0,P229/N229)</f>
        <v/>
      </c>
    </row>
    <row r="230">
      <c r="A230" t="inlineStr">
        <is>
          <t>ORD-1228</t>
        </is>
      </c>
      <c r="B230" s="2" t="n">
        <v>45542</v>
      </c>
      <c r="C230" t="n">
        <v>2024</v>
      </c>
      <c r="D230" t="inlineStr">
        <is>
          <t>Q3</t>
        </is>
      </c>
      <c r="E230" t="inlineStr">
        <is>
          <t>Sep</t>
        </is>
      </c>
      <c r="F230" t="inlineStr">
        <is>
          <t>East</t>
        </is>
      </c>
      <c r="G230" t="inlineStr">
        <is>
          <t>Mid-Market</t>
        </is>
      </c>
      <c r="H230" t="inlineStr">
        <is>
          <t>Direct</t>
        </is>
      </c>
      <c r="I230" t="inlineStr">
        <is>
          <t>Add-ons</t>
        </is>
      </c>
      <c r="J230" t="inlineStr">
        <is>
          <t>Support Plus</t>
        </is>
      </c>
      <c r="K230" t="inlineStr">
        <is>
          <t>E. Nair</t>
        </is>
      </c>
      <c r="L230" t="n">
        <v>23</v>
      </c>
      <c r="M230" s="3" t="n">
        <v>1533.07</v>
      </c>
      <c r="N230" s="3">
        <f>L230*M230</f>
        <v/>
      </c>
      <c r="O230" s="3">
        <f>N230*0.247</f>
        <v/>
      </c>
      <c r="P230" s="3">
        <f>N230-O230</f>
        <v/>
      </c>
      <c r="Q230" s="4">
        <f>IF(N230=0,0,P230/N230)</f>
        <v/>
      </c>
    </row>
    <row r="231">
      <c r="A231" t="inlineStr">
        <is>
          <t>ORD-1229</t>
        </is>
      </c>
      <c r="B231" s="2" t="n">
        <v>45486</v>
      </c>
      <c r="C231" t="n">
        <v>2024</v>
      </c>
      <c r="D231" t="inlineStr">
        <is>
          <t>Q3</t>
        </is>
      </c>
      <c r="E231" t="inlineStr">
        <is>
          <t>Jul</t>
        </is>
      </c>
      <c r="F231" t="inlineStr">
        <is>
          <t>East</t>
        </is>
      </c>
      <c r="G231" t="inlineStr">
        <is>
          <t>SMB</t>
        </is>
      </c>
      <c r="H231" t="inlineStr">
        <is>
          <t>Partner</t>
        </is>
      </c>
      <c r="I231" t="inlineStr">
        <is>
          <t>Add-ons</t>
        </is>
      </c>
      <c r="J231" t="inlineStr">
        <is>
          <t>Support Plus</t>
        </is>
      </c>
      <c r="K231" t="inlineStr">
        <is>
          <t>F. Shah</t>
        </is>
      </c>
      <c r="L231" t="n">
        <v>50</v>
      </c>
      <c r="M231" s="3" t="n">
        <v>2070.15</v>
      </c>
      <c r="N231" s="3">
        <f>L231*M231</f>
        <v/>
      </c>
      <c r="O231" s="3">
        <f>N231*0.426</f>
        <v/>
      </c>
      <c r="P231" s="3">
        <f>N231-O231</f>
        <v/>
      </c>
      <c r="Q231" s="4">
        <f>IF(N231=0,0,P231/N231)</f>
        <v/>
      </c>
    </row>
    <row r="232">
      <c r="A232" t="inlineStr">
        <is>
          <t>ORD-1230</t>
        </is>
      </c>
      <c r="B232" s="2" t="n">
        <v>45518</v>
      </c>
      <c r="C232" t="n">
        <v>2024</v>
      </c>
      <c r="D232" t="inlineStr">
        <is>
          <t>Q3</t>
        </is>
      </c>
      <c r="E232" t="inlineStr">
        <is>
          <t>Aug</t>
        </is>
      </c>
      <c r="F232" t="inlineStr">
        <is>
          <t>South</t>
        </is>
      </c>
      <c r="G232" t="inlineStr">
        <is>
          <t>Enterprise</t>
        </is>
      </c>
      <c r="H232" t="inlineStr">
        <is>
          <t>Partner</t>
        </is>
      </c>
      <c r="I232" t="inlineStr">
        <is>
          <t>Services</t>
        </is>
      </c>
      <c r="J232" t="inlineStr">
        <is>
          <t>Training</t>
        </is>
      </c>
      <c r="K232" t="inlineStr">
        <is>
          <t>E. Nair</t>
        </is>
      </c>
      <c r="L232" t="n">
        <v>48</v>
      </c>
      <c r="M232" s="3" t="n">
        <v>1353.97</v>
      </c>
      <c r="N232" s="3">
        <f>L232*M232</f>
        <v/>
      </c>
      <c r="O232" s="3">
        <f>N232*0.241</f>
        <v/>
      </c>
      <c r="P232" s="3">
        <f>N232-O232</f>
        <v/>
      </c>
      <c r="Q232" s="4">
        <f>IF(N232=0,0,P232/N232)</f>
        <v/>
      </c>
    </row>
    <row r="233">
      <c r="A233" t="inlineStr">
        <is>
          <t>ORD-1231</t>
        </is>
      </c>
      <c r="B233" s="2" t="n">
        <v>45362</v>
      </c>
      <c r="C233" t="n">
        <v>2024</v>
      </c>
      <c r="D233" t="inlineStr">
        <is>
          <t>Q1</t>
        </is>
      </c>
      <c r="E233" t="inlineStr">
        <is>
          <t>Mar</t>
        </is>
      </c>
      <c r="F233" t="inlineStr">
        <is>
          <t>South</t>
        </is>
      </c>
      <c r="G233" t="inlineStr">
        <is>
          <t>SMB</t>
        </is>
      </c>
      <c r="H233" t="inlineStr">
        <is>
          <t>Self-serve</t>
        </is>
      </c>
      <c r="I233" t="inlineStr">
        <is>
          <t>Subscriptions</t>
        </is>
      </c>
      <c r="J233" t="inlineStr">
        <is>
          <t>Enterprise</t>
        </is>
      </c>
      <c r="K233" t="inlineStr">
        <is>
          <t>E. Nair</t>
        </is>
      </c>
      <c r="L233" t="n">
        <v>48</v>
      </c>
      <c r="M233" s="3" t="n">
        <v>1591.03</v>
      </c>
      <c r="N233" s="3">
        <f>L233*M233</f>
        <v/>
      </c>
      <c r="O233" s="3">
        <f>N233*0.382</f>
        <v/>
      </c>
      <c r="P233" s="3">
        <f>N233-O233</f>
        <v/>
      </c>
      <c r="Q233" s="4">
        <f>IF(N233=0,0,P233/N233)</f>
        <v/>
      </c>
    </row>
    <row r="234">
      <c r="A234" t="inlineStr">
        <is>
          <t>ORD-1232</t>
        </is>
      </c>
      <c r="B234" s="2" t="n">
        <v>45411</v>
      </c>
      <c r="C234" t="n">
        <v>2024</v>
      </c>
      <c r="D234" t="inlineStr">
        <is>
          <t>Q2</t>
        </is>
      </c>
      <c r="E234" t="inlineStr">
        <is>
          <t>Apr</t>
        </is>
      </c>
      <c r="F234" t="inlineStr">
        <is>
          <t>West</t>
        </is>
      </c>
      <c r="G234" t="inlineStr">
        <is>
          <t>SMB</t>
        </is>
      </c>
      <c r="H234" t="inlineStr">
        <is>
          <t>Self-serve</t>
        </is>
      </c>
      <c r="I234" t="inlineStr">
        <is>
          <t>Subscriptions</t>
        </is>
      </c>
      <c r="J234" t="inlineStr">
        <is>
          <t>Starter</t>
        </is>
      </c>
      <c r="K234" t="inlineStr">
        <is>
          <t>B. Khan</t>
        </is>
      </c>
      <c r="L234" t="n">
        <v>27</v>
      </c>
      <c r="M234" s="3" t="n">
        <v>1026.65</v>
      </c>
      <c r="N234" s="3">
        <f>L234*M234</f>
        <v/>
      </c>
      <c r="O234" s="3">
        <f>N234*0.448</f>
        <v/>
      </c>
      <c r="P234" s="3">
        <f>N234-O234</f>
        <v/>
      </c>
      <c r="Q234" s="4">
        <f>IF(N234=0,0,P234/N234)</f>
        <v/>
      </c>
    </row>
    <row r="235">
      <c r="A235" t="inlineStr">
        <is>
          <t>ORD-1233</t>
        </is>
      </c>
      <c r="B235" s="2" t="n">
        <v>45573</v>
      </c>
      <c r="C235" t="n">
        <v>2024</v>
      </c>
      <c r="D235" t="inlineStr">
        <is>
          <t>Q4</t>
        </is>
      </c>
      <c r="E235" t="inlineStr">
        <is>
          <t>Oct</t>
        </is>
      </c>
      <c r="F235" t="inlineStr">
        <is>
          <t>West</t>
        </is>
      </c>
      <c r="G235" t="inlineStr">
        <is>
          <t>Mid-Market</t>
        </is>
      </c>
      <c r="H235" t="inlineStr">
        <is>
          <t>Self-serve</t>
        </is>
      </c>
      <c r="I235" t="inlineStr">
        <is>
          <t>Subscriptions</t>
        </is>
      </c>
      <c r="J235" t="inlineStr">
        <is>
          <t>Pro</t>
        </is>
      </c>
      <c r="K235" t="inlineStr">
        <is>
          <t>B. Khan</t>
        </is>
      </c>
      <c r="L235" t="n">
        <v>42</v>
      </c>
      <c r="M235" s="3" t="n">
        <v>2357.07</v>
      </c>
      <c r="N235" s="3">
        <f>L235*M235</f>
        <v/>
      </c>
      <c r="O235" s="3">
        <f>N235*0.223</f>
        <v/>
      </c>
      <c r="P235" s="3">
        <f>N235-O235</f>
        <v/>
      </c>
      <c r="Q235" s="4">
        <f>IF(N235=0,0,P235/N235)</f>
        <v/>
      </c>
    </row>
    <row r="236">
      <c r="A236" t="inlineStr">
        <is>
          <t>ORD-1234</t>
        </is>
      </c>
      <c r="B236" s="2" t="n">
        <v>45439</v>
      </c>
      <c r="C236" t="n">
        <v>2024</v>
      </c>
      <c r="D236" t="inlineStr">
        <is>
          <t>Q2</t>
        </is>
      </c>
      <c r="E236" t="inlineStr">
        <is>
          <t>May</t>
        </is>
      </c>
      <c r="F236" t="inlineStr">
        <is>
          <t>North</t>
        </is>
      </c>
      <c r="G236" t="inlineStr">
        <is>
          <t>Enterprise</t>
        </is>
      </c>
      <c r="H236" t="inlineStr">
        <is>
          <t>Self-serve</t>
        </is>
      </c>
      <c r="I236" t="inlineStr">
        <is>
          <t>Add-ons</t>
        </is>
      </c>
      <c r="J236" t="inlineStr">
        <is>
          <t>Support Plus</t>
        </is>
      </c>
      <c r="K236" t="inlineStr">
        <is>
          <t>B. Khan</t>
        </is>
      </c>
      <c r="L236" t="n">
        <v>42</v>
      </c>
      <c r="M236" s="3" t="n">
        <v>430.16</v>
      </c>
      <c r="N236" s="3">
        <f>L236*M236</f>
        <v/>
      </c>
      <c r="O236" s="3">
        <f>N236*0.289</f>
        <v/>
      </c>
      <c r="P236" s="3">
        <f>N236-O236</f>
        <v/>
      </c>
      <c r="Q236" s="4">
        <f>IF(N236=0,0,P236/N236)</f>
        <v/>
      </c>
    </row>
    <row r="237">
      <c r="A237" t="inlineStr">
        <is>
          <t>ORD-1235</t>
        </is>
      </c>
      <c r="B237" s="2" t="n">
        <v>45311</v>
      </c>
      <c r="C237" t="n">
        <v>2024</v>
      </c>
      <c r="D237" t="inlineStr">
        <is>
          <t>Q1</t>
        </is>
      </c>
      <c r="E237" t="inlineStr">
        <is>
          <t>Jan</t>
        </is>
      </c>
      <c r="F237" t="inlineStr">
        <is>
          <t>North</t>
        </is>
      </c>
      <c r="G237" t="inlineStr">
        <is>
          <t>Mid-Market</t>
        </is>
      </c>
      <c r="H237" t="inlineStr">
        <is>
          <t>Partner</t>
        </is>
      </c>
      <c r="I237" t="inlineStr">
        <is>
          <t>Subscriptions</t>
        </is>
      </c>
      <c r="J237" t="inlineStr">
        <is>
          <t>Pro</t>
        </is>
      </c>
      <c r="K237" t="inlineStr">
        <is>
          <t>B. Khan</t>
        </is>
      </c>
      <c r="L237" t="n">
        <v>12</v>
      </c>
      <c r="M237" s="3" t="n">
        <v>2354.63</v>
      </c>
      <c r="N237" s="3">
        <f>L237*M237</f>
        <v/>
      </c>
      <c r="O237" s="3">
        <f>N237*0.169</f>
        <v/>
      </c>
      <c r="P237" s="3">
        <f>N237-O237</f>
        <v/>
      </c>
      <c r="Q237" s="4">
        <f>IF(N237=0,0,P237/N237)</f>
        <v/>
      </c>
    </row>
    <row r="238">
      <c r="A238" t="inlineStr">
        <is>
          <t>ORD-1236</t>
        </is>
      </c>
      <c r="B238" s="2" t="n">
        <v>45440</v>
      </c>
      <c r="C238" t="n">
        <v>2024</v>
      </c>
      <c r="D238" t="inlineStr">
        <is>
          <t>Q2</t>
        </is>
      </c>
      <c r="E238" t="inlineStr">
        <is>
          <t>May</t>
        </is>
      </c>
      <c r="F238" t="inlineStr">
        <is>
          <t>North</t>
        </is>
      </c>
      <c r="G238" t="inlineStr">
        <is>
          <t>Mid-Market</t>
        </is>
      </c>
      <c r="H238" t="inlineStr">
        <is>
          <t>Partner</t>
        </is>
      </c>
      <c r="I238" t="inlineStr">
        <is>
          <t>Subscriptions</t>
        </is>
      </c>
      <c r="J238" t="inlineStr">
        <is>
          <t>Starter</t>
        </is>
      </c>
      <c r="K238" t="inlineStr">
        <is>
          <t>D. Iyer</t>
        </is>
      </c>
      <c r="L238" t="n">
        <v>20</v>
      </c>
      <c r="M238" s="3" t="n">
        <v>1549.52</v>
      </c>
      <c r="N238" s="3">
        <f>L238*M238</f>
        <v/>
      </c>
      <c r="O238" s="3">
        <f>N238*0.153</f>
        <v/>
      </c>
      <c r="P238" s="3">
        <f>N238-O238</f>
        <v/>
      </c>
      <c r="Q238" s="4">
        <f>IF(N238=0,0,P238/N238)</f>
        <v/>
      </c>
    </row>
    <row r="239">
      <c r="A239" t="inlineStr">
        <is>
          <t>ORD-1237</t>
        </is>
      </c>
      <c r="B239" s="2" t="n">
        <v>45570</v>
      </c>
      <c r="C239" t="n">
        <v>2024</v>
      </c>
      <c r="D239" t="inlineStr">
        <is>
          <t>Q4</t>
        </is>
      </c>
      <c r="E239" t="inlineStr">
        <is>
          <t>Oct</t>
        </is>
      </c>
      <c r="F239" t="inlineStr">
        <is>
          <t>West</t>
        </is>
      </c>
      <c r="G239" t="inlineStr">
        <is>
          <t>Mid-Market</t>
        </is>
      </c>
      <c r="H239" t="inlineStr">
        <is>
          <t>Direct</t>
        </is>
      </c>
      <c r="I239" t="inlineStr">
        <is>
          <t>Services</t>
        </is>
      </c>
      <c r="J239" t="inlineStr">
        <is>
          <t>Training</t>
        </is>
      </c>
      <c r="K239" t="inlineStr">
        <is>
          <t>A. Rao</t>
        </is>
      </c>
      <c r="L239" t="n">
        <v>9</v>
      </c>
      <c r="M239" s="3" t="n">
        <v>2172.33</v>
      </c>
      <c r="N239" s="3">
        <f>L239*M239</f>
        <v/>
      </c>
      <c r="O239" s="3">
        <f>N239*0.351</f>
        <v/>
      </c>
      <c r="P239" s="3">
        <f>N239-O239</f>
        <v/>
      </c>
      <c r="Q239" s="4">
        <f>IF(N239=0,0,P239/N239)</f>
        <v/>
      </c>
    </row>
    <row r="240">
      <c r="A240" t="inlineStr">
        <is>
          <t>ORD-1238</t>
        </is>
      </c>
      <c r="B240" s="2" t="n">
        <v>45526</v>
      </c>
      <c r="C240" t="n">
        <v>2024</v>
      </c>
      <c r="D240" t="inlineStr">
        <is>
          <t>Q3</t>
        </is>
      </c>
      <c r="E240" t="inlineStr">
        <is>
          <t>Aug</t>
        </is>
      </c>
      <c r="F240" t="inlineStr">
        <is>
          <t>East</t>
        </is>
      </c>
      <c r="G240" t="inlineStr">
        <is>
          <t>Mid-Market</t>
        </is>
      </c>
      <c r="H240" t="inlineStr">
        <is>
          <t>Self-serve</t>
        </is>
      </c>
      <c r="I240" t="inlineStr">
        <is>
          <t>Services</t>
        </is>
      </c>
      <c r="J240" t="inlineStr">
        <is>
          <t>Training</t>
        </is>
      </c>
      <c r="K240" t="inlineStr">
        <is>
          <t>F. Shah</t>
        </is>
      </c>
      <c r="L240" t="n">
        <v>46</v>
      </c>
      <c r="M240" s="3" t="n">
        <v>709.64</v>
      </c>
      <c r="N240" s="3">
        <f>L240*M240</f>
        <v/>
      </c>
      <c r="O240" s="3">
        <f>N240*0.223</f>
        <v/>
      </c>
      <c r="P240" s="3">
        <f>N240-O240</f>
        <v/>
      </c>
      <c r="Q240" s="4">
        <f>IF(N240=0,0,P240/N240)</f>
        <v/>
      </c>
    </row>
    <row r="241">
      <c r="A241" t="inlineStr">
        <is>
          <t>ORD-1239</t>
        </is>
      </c>
      <c r="B241" s="2" t="n">
        <v>45381</v>
      </c>
      <c r="C241" t="n">
        <v>2024</v>
      </c>
      <c r="D241" t="inlineStr">
        <is>
          <t>Q1</t>
        </is>
      </c>
      <c r="E241" t="inlineStr">
        <is>
          <t>Mar</t>
        </is>
      </c>
      <c r="F241" t="inlineStr">
        <is>
          <t>North</t>
        </is>
      </c>
      <c r="G241" t="inlineStr">
        <is>
          <t>Mid-Market</t>
        </is>
      </c>
      <c r="H241" t="inlineStr">
        <is>
          <t>Self-serve</t>
        </is>
      </c>
      <c r="I241" t="inlineStr">
        <is>
          <t>Services</t>
        </is>
      </c>
      <c r="J241" t="inlineStr">
        <is>
          <t>Training</t>
        </is>
      </c>
      <c r="K241" t="inlineStr">
        <is>
          <t>A. Rao</t>
        </is>
      </c>
      <c r="L241" t="n">
        <v>28</v>
      </c>
      <c r="M241" s="3" t="n">
        <v>1433.62</v>
      </c>
      <c r="N241" s="3">
        <f>L241*M241</f>
        <v/>
      </c>
      <c r="O241" s="3">
        <f>N241*0.395</f>
        <v/>
      </c>
      <c r="P241" s="3">
        <f>N241-O241</f>
        <v/>
      </c>
      <c r="Q241" s="4">
        <f>IF(N241=0,0,P241/N241)</f>
        <v/>
      </c>
    </row>
    <row r="242">
      <c r="A242" t="inlineStr">
        <is>
          <t>ORD-1240</t>
        </is>
      </c>
      <c r="B242" s="2" t="n">
        <v>45363</v>
      </c>
      <c r="C242" t="n">
        <v>2024</v>
      </c>
      <c r="D242" t="inlineStr">
        <is>
          <t>Q1</t>
        </is>
      </c>
      <c r="E242" t="inlineStr">
        <is>
          <t>Mar</t>
        </is>
      </c>
      <c r="F242" t="inlineStr">
        <is>
          <t>West</t>
        </is>
      </c>
      <c r="G242" t="inlineStr">
        <is>
          <t>SMB</t>
        </is>
      </c>
      <c r="H242" t="inlineStr">
        <is>
          <t>Partner</t>
        </is>
      </c>
      <c r="I242" t="inlineStr">
        <is>
          <t>Add-ons</t>
        </is>
      </c>
      <c r="J242" t="inlineStr">
        <is>
          <t>Support Plus</t>
        </is>
      </c>
      <c r="K242" t="inlineStr">
        <is>
          <t>C. Mehta</t>
        </is>
      </c>
      <c r="L242" t="n">
        <v>16</v>
      </c>
      <c r="M242" s="3" t="n">
        <v>315.03</v>
      </c>
      <c r="N242" s="3">
        <f>L242*M242</f>
        <v/>
      </c>
      <c r="O242" s="3">
        <f>N242*0.164</f>
        <v/>
      </c>
      <c r="P242" s="3">
        <f>N242-O242</f>
        <v/>
      </c>
      <c r="Q242" s="4">
        <f>IF(N242=0,0,P242/N242)</f>
        <v/>
      </c>
    </row>
    <row r="243">
      <c r="A243" t="inlineStr">
        <is>
          <t>ORD-1241</t>
        </is>
      </c>
      <c r="B243" s="2" t="n">
        <v>45446</v>
      </c>
      <c r="C243" t="n">
        <v>2024</v>
      </c>
      <c r="D243" t="inlineStr">
        <is>
          <t>Q2</t>
        </is>
      </c>
      <c r="E243" t="inlineStr">
        <is>
          <t>Jun</t>
        </is>
      </c>
      <c r="F243" t="inlineStr">
        <is>
          <t>South</t>
        </is>
      </c>
      <c r="G243" t="inlineStr">
        <is>
          <t>SMB</t>
        </is>
      </c>
      <c r="H243" t="inlineStr">
        <is>
          <t>Self-serve</t>
        </is>
      </c>
      <c r="I243" t="inlineStr">
        <is>
          <t>Services</t>
        </is>
      </c>
      <c r="J243" t="inlineStr">
        <is>
          <t>Onboarding</t>
        </is>
      </c>
      <c r="K243" t="inlineStr">
        <is>
          <t>A. Rao</t>
        </is>
      </c>
      <c r="L243" t="n">
        <v>17</v>
      </c>
      <c r="M243" s="3" t="n">
        <v>1738.1</v>
      </c>
      <c r="N243" s="3">
        <f>L243*M243</f>
        <v/>
      </c>
      <c r="O243" s="3">
        <f>N243*0.31</f>
        <v/>
      </c>
      <c r="P243" s="3">
        <f>N243-O243</f>
        <v/>
      </c>
      <c r="Q243" s="4">
        <f>IF(N243=0,0,P243/N243)</f>
        <v/>
      </c>
    </row>
    <row r="244">
      <c r="A244" t="inlineStr">
        <is>
          <t>ORD-1242</t>
        </is>
      </c>
      <c r="B244" s="2" t="n">
        <v>45373</v>
      </c>
      <c r="C244" t="n">
        <v>2024</v>
      </c>
      <c r="D244" t="inlineStr">
        <is>
          <t>Q1</t>
        </is>
      </c>
      <c r="E244" t="inlineStr">
        <is>
          <t>Mar</t>
        </is>
      </c>
      <c r="F244" t="inlineStr">
        <is>
          <t>East</t>
        </is>
      </c>
      <c r="G244" t="inlineStr">
        <is>
          <t>Enterprise</t>
        </is>
      </c>
      <c r="H244" t="inlineStr">
        <is>
          <t>Direct</t>
        </is>
      </c>
      <c r="I244" t="inlineStr">
        <is>
          <t>Add-ons</t>
        </is>
      </c>
      <c r="J244" t="inlineStr">
        <is>
          <t>Extra Seats</t>
        </is>
      </c>
      <c r="K244" t="inlineStr">
        <is>
          <t>F. Shah</t>
        </is>
      </c>
      <c r="L244" t="n">
        <v>33</v>
      </c>
      <c r="M244" s="3" t="n">
        <v>2330.83</v>
      </c>
      <c r="N244" s="3">
        <f>L244*M244</f>
        <v/>
      </c>
      <c r="O244" s="3">
        <f>N244*0.175</f>
        <v/>
      </c>
      <c r="P244" s="3">
        <f>N244-O244</f>
        <v/>
      </c>
      <c r="Q244" s="4">
        <f>IF(N244=0,0,P244/N244)</f>
        <v/>
      </c>
    </row>
    <row r="245">
      <c r="A245" t="inlineStr">
        <is>
          <t>ORD-1243</t>
        </is>
      </c>
      <c r="B245" s="2" t="n">
        <v>45443</v>
      </c>
      <c r="C245" t="n">
        <v>2024</v>
      </c>
      <c r="D245" t="inlineStr">
        <is>
          <t>Q2</t>
        </is>
      </c>
      <c r="E245" t="inlineStr">
        <is>
          <t>May</t>
        </is>
      </c>
      <c r="F245" t="inlineStr">
        <is>
          <t>South</t>
        </is>
      </c>
      <c r="G245" t="inlineStr">
        <is>
          <t>Mid-Market</t>
        </is>
      </c>
      <c r="H245" t="inlineStr">
        <is>
          <t>Direct</t>
        </is>
      </c>
      <c r="I245" t="inlineStr">
        <is>
          <t>Add-ons</t>
        </is>
      </c>
      <c r="J245" t="inlineStr">
        <is>
          <t>Extra Seats</t>
        </is>
      </c>
      <c r="K245" t="inlineStr">
        <is>
          <t>D. Iyer</t>
        </is>
      </c>
      <c r="L245" t="n">
        <v>15</v>
      </c>
      <c r="M245" s="3" t="n">
        <v>782.08</v>
      </c>
      <c r="N245" s="3">
        <f>L245*M245</f>
        <v/>
      </c>
      <c r="O245" s="3">
        <f>N245*0.226</f>
        <v/>
      </c>
      <c r="P245" s="3">
        <f>N245-O245</f>
        <v/>
      </c>
      <c r="Q245" s="4">
        <f>IF(N245=0,0,P245/N245)</f>
        <v/>
      </c>
    </row>
    <row r="246">
      <c r="A246" t="inlineStr">
        <is>
          <t>ORD-1244</t>
        </is>
      </c>
      <c r="B246" s="2" t="n">
        <v>45602</v>
      </c>
      <c r="C246" t="n">
        <v>2024</v>
      </c>
      <c r="D246" t="inlineStr">
        <is>
          <t>Q4</t>
        </is>
      </c>
      <c r="E246" t="inlineStr">
        <is>
          <t>Nov</t>
        </is>
      </c>
      <c r="F246" t="inlineStr">
        <is>
          <t>West</t>
        </is>
      </c>
      <c r="G246" t="inlineStr">
        <is>
          <t>Enterprise</t>
        </is>
      </c>
      <c r="H246" t="inlineStr">
        <is>
          <t>Self-serve</t>
        </is>
      </c>
      <c r="I246" t="inlineStr">
        <is>
          <t>Add-ons</t>
        </is>
      </c>
      <c r="J246" t="inlineStr">
        <is>
          <t>Support Plus</t>
        </is>
      </c>
      <c r="K246" t="inlineStr">
        <is>
          <t>B. Khan</t>
        </is>
      </c>
      <c r="L246" t="n">
        <v>45</v>
      </c>
      <c r="M246" s="3" t="n">
        <v>1508.32</v>
      </c>
      <c r="N246" s="3">
        <f>L246*M246</f>
        <v/>
      </c>
      <c r="O246" s="3">
        <f>N246*0.221</f>
        <v/>
      </c>
      <c r="P246" s="3">
        <f>N246-O246</f>
        <v/>
      </c>
      <c r="Q246" s="4">
        <f>IF(N246=0,0,P246/N246)</f>
        <v/>
      </c>
    </row>
    <row r="247">
      <c r="A247" t="inlineStr">
        <is>
          <t>ORD-1245</t>
        </is>
      </c>
      <c r="B247" s="2" t="n">
        <v>45640</v>
      </c>
      <c r="C247" t="n">
        <v>2024</v>
      </c>
      <c r="D247" t="inlineStr">
        <is>
          <t>Q4</t>
        </is>
      </c>
      <c r="E247" t="inlineStr">
        <is>
          <t>Dec</t>
        </is>
      </c>
      <c r="F247" t="inlineStr">
        <is>
          <t>East</t>
        </is>
      </c>
      <c r="G247" t="inlineStr">
        <is>
          <t>SMB</t>
        </is>
      </c>
      <c r="H247" t="inlineStr">
        <is>
          <t>Self-serve</t>
        </is>
      </c>
      <c r="I247" t="inlineStr">
        <is>
          <t>Services</t>
        </is>
      </c>
      <c r="J247" t="inlineStr">
        <is>
          <t>Onboarding</t>
        </is>
      </c>
      <c r="K247" t="inlineStr">
        <is>
          <t>A. Rao</t>
        </is>
      </c>
      <c r="L247" t="n">
        <v>34</v>
      </c>
      <c r="M247" s="3" t="n">
        <v>1282.85</v>
      </c>
      <c r="N247" s="3">
        <f>L247*M247</f>
        <v/>
      </c>
      <c r="O247" s="3">
        <f>N247*0.431</f>
        <v/>
      </c>
      <c r="P247" s="3">
        <f>N247-O247</f>
        <v/>
      </c>
      <c r="Q247" s="4">
        <f>IF(N247=0,0,P247/N247)</f>
        <v/>
      </c>
    </row>
    <row r="248">
      <c r="A248" t="inlineStr">
        <is>
          <t>ORD-1246</t>
        </is>
      </c>
      <c r="B248" s="2" t="n">
        <v>45572</v>
      </c>
      <c r="C248" t="n">
        <v>2024</v>
      </c>
      <c r="D248" t="inlineStr">
        <is>
          <t>Q4</t>
        </is>
      </c>
      <c r="E248" t="inlineStr">
        <is>
          <t>Oct</t>
        </is>
      </c>
      <c r="F248" t="inlineStr">
        <is>
          <t>South</t>
        </is>
      </c>
      <c r="G248" t="inlineStr">
        <is>
          <t>Mid-Market</t>
        </is>
      </c>
      <c r="H248" t="inlineStr">
        <is>
          <t>Self-serve</t>
        </is>
      </c>
      <c r="I248" t="inlineStr">
        <is>
          <t>Services</t>
        </is>
      </c>
      <c r="J248" t="inlineStr">
        <is>
          <t>Onboarding</t>
        </is>
      </c>
      <c r="K248" t="inlineStr">
        <is>
          <t>D. Iyer</t>
        </is>
      </c>
      <c r="L248" t="n">
        <v>37</v>
      </c>
      <c r="M248" s="3" t="n">
        <v>1480.65</v>
      </c>
      <c r="N248" s="3">
        <f>L248*M248</f>
        <v/>
      </c>
      <c r="O248" s="3">
        <f>N248*0.415</f>
        <v/>
      </c>
      <c r="P248" s="3">
        <f>N248-O248</f>
        <v/>
      </c>
      <c r="Q248" s="4">
        <f>IF(N248=0,0,P248/N248)</f>
        <v/>
      </c>
    </row>
    <row r="249">
      <c r="A249" t="inlineStr">
        <is>
          <t>ORD-1247</t>
        </is>
      </c>
      <c r="B249" s="2" t="n">
        <v>45397</v>
      </c>
      <c r="C249" t="n">
        <v>2024</v>
      </c>
      <c r="D249" t="inlineStr">
        <is>
          <t>Q2</t>
        </is>
      </c>
      <c r="E249" t="inlineStr">
        <is>
          <t>Apr</t>
        </is>
      </c>
      <c r="F249" t="inlineStr">
        <is>
          <t>West</t>
        </is>
      </c>
      <c r="G249" t="inlineStr">
        <is>
          <t>SMB</t>
        </is>
      </c>
      <c r="H249" t="inlineStr">
        <is>
          <t>Partner</t>
        </is>
      </c>
      <c r="I249" t="inlineStr">
        <is>
          <t>Services</t>
        </is>
      </c>
      <c r="J249" t="inlineStr">
        <is>
          <t>Training</t>
        </is>
      </c>
      <c r="K249" t="inlineStr">
        <is>
          <t>B. Khan</t>
        </is>
      </c>
      <c r="L249" t="n">
        <v>6</v>
      </c>
      <c r="M249" s="3" t="n">
        <v>2277.56</v>
      </c>
      <c r="N249" s="3">
        <f>L249*M249</f>
        <v/>
      </c>
      <c r="O249" s="3">
        <f>N249*0.296</f>
        <v/>
      </c>
      <c r="P249" s="3">
        <f>N249-O249</f>
        <v/>
      </c>
      <c r="Q249" s="4">
        <f>IF(N249=0,0,P249/N249)</f>
        <v/>
      </c>
    </row>
    <row r="250">
      <c r="A250" t="inlineStr">
        <is>
          <t>ORD-1248</t>
        </is>
      </c>
      <c r="B250" s="2" t="n">
        <v>45525</v>
      </c>
      <c r="C250" t="n">
        <v>2024</v>
      </c>
      <c r="D250" t="inlineStr">
        <is>
          <t>Q3</t>
        </is>
      </c>
      <c r="E250" t="inlineStr">
        <is>
          <t>Aug</t>
        </is>
      </c>
      <c r="F250" t="inlineStr">
        <is>
          <t>East</t>
        </is>
      </c>
      <c r="G250" t="inlineStr">
        <is>
          <t>Enterprise</t>
        </is>
      </c>
      <c r="H250" t="inlineStr">
        <is>
          <t>Direct</t>
        </is>
      </c>
      <c r="I250" t="inlineStr">
        <is>
          <t>Services</t>
        </is>
      </c>
      <c r="J250" t="inlineStr">
        <is>
          <t>Onboarding</t>
        </is>
      </c>
      <c r="K250" t="inlineStr">
        <is>
          <t>D. Iyer</t>
        </is>
      </c>
      <c r="L250" t="n">
        <v>36</v>
      </c>
      <c r="M250" s="3" t="n">
        <v>1317.23</v>
      </c>
      <c r="N250" s="3">
        <f>L250*M250</f>
        <v/>
      </c>
      <c r="O250" s="3">
        <f>N250*0.374</f>
        <v/>
      </c>
      <c r="P250" s="3">
        <f>N250-O250</f>
        <v/>
      </c>
      <c r="Q250" s="4">
        <f>IF(N250=0,0,P250/N250)</f>
        <v/>
      </c>
    </row>
    <row r="251">
      <c r="A251" t="inlineStr">
        <is>
          <t>ORD-1249</t>
        </is>
      </c>
      <c r="B251" s="2" t="n">
        <v>45293</v>
      </c>
      <c r="C251" t="n">
        <v>2024</v>
      </c>
      <c r="D251" t="inlineStr">
        <is>
          <t>Q1</t>
        </is>
      </c>
      <c r="E251" t="inlineStr">
        <is>
          <t>Jan</t>
        </is>
      </c>
      <c r="F251" t="inlineStr">
        <is>
          <t>West</t>
        </is>
      </c>
      <c r="G251" t="inlineStr">
        <is>
          <t>Mid-Market</t>
        </is>
      </c>
      <c r="H251" t="inlineStr">
        <is>
          <t>Self-serve</t>
        </is>
      </c>
      <c r="I251" t="inlineStr">
        <is>
          <t>Services</t>
        </is>
      </c>
      <c r="J251" t="inlineStr">
        <is>
          <t>Onboarding</t>
        </is>
      </c>
      <c r="K251" t="inlineStr">
        <is>
          <t>A. Rao</t>
        </is>
      </c>
      <c r="L251" t="n">
        <v>38</v>
      </c>
      <c r="M251" s="3" t="n">
        <v>460.66</v>
      </c>
      <c r="N251" s="3">
        <f>L251*M251</f>
        <v/>
      </c>
      <c r="O251" s="3">
        <f>N251*0.288</f>
        <v/>
      </c>
      <c r="P251" s="3">
        <f>N251-O251</f>
        <v/>
      </c>
      <c r="Q251" s="4">
        <f>IF(N251=0,0,P251/N251)</f>
        <v/>
      </c>
    </row>
    <row r="252">
      <c r="A252" t="inlineStr">
        <is>
          <t>ORD-1250</t>
        </is>
      </c>
      <c r="B252" s="2" t="n">
        <v>45322</v>
      </c>
      <c r="C252" t="n">
        <v>2024</v>
      </c>
      <c r="D252" t="inlineStr">
        <is>
          <t>Q1</t>
        </is>
      </c>
      <c r="E252" t="inlineStr">
        <is>
          <t>Jan</t>
        </is>
      </c>
      <c r="F252" t="inlineStr">
        <is>
          <t>South</t>
        </is>
      </c>
      <c r="G252" t="inlineStr">
        <is>
          <t>SMB</t>
        </is>
      </c>
      <c r="H252" t="inlineStr">
        <is>
          <t>Self-serve</t>
        </is>
      </c>
      <c r="I252" t="inlineStr">
        <is>
          <t>Subscriptions</t>
        </is>
      </c>
      <c r="J252" t="inlineStr">
        <is>
          <t>Pro</t>
        </is>
      </c>
      <c r="K252" t="inlineStr">
        <is>
          <t>F. Shah</t>
        </is>
      </c>
      <c r="L252" t="n">
        <v>3</v>
      </c>
      <c r="M252" s="3" t="n">
        <v>931.6</v>
      </c>
      <c r="N252" s="3">
        <f>L252*M252</f>
        <v/>
      </c>
      <c r="O252" s="3">
        <f>N252*0.256</f>
        <v/>
      </c>
      <c r="P252" s="3">
        <f>N252-O252</f>
        <v/>
      </c>
      <c r="Q252" s="4">
        <f>IF(N252=0,0,P252/N252)</f>
        <v/>
      </c>
    </row>
    <row r="253">
      <c r="A253" t="inlineStr">
        <is>
          <t>ORD-1251</t>
        </is>
      </c>
      <c r="B253" s="2" t="n">
        <v>45507</v>
      </c>
      <c r="C253" t="n">
        <v>2024</v>
      </c>
      <c r="D253" t="inlineStr">
        <is>
          <t>Q3</t>
        </is>
      </c>
      <c r="E253" t="inlineStr">
        <is>
          <t>Aug</t>
        </is>
      </c>
      <c r="F253" t="inlineStr">
        <is>
          <t>West</t>
        </is>
      </c>
      <c r="G253" t="inlineStr">
        <is>
          <t>Mid-Market</t>
        </is>
      </c>
      <c r="H253" t="inlineStr">
        <is>
          <t>Direct</t>
        </is>
      </c>
      <c r="I253" t="inlineStr">
        <is>
          <t>Add-ons</t>
        </is>
      </c>
      <c r="J253" t="inlineStr">
        <is>
          <t>Support Plus</t>
        </is>
      </c>
      <c r="K253" t="inlineStr">
        <is>
          <t>F. Shah</t>
        </is>
      </c>
      <c r="L253" t="n">
        <v>29</v>
      </c>
      <c r="M253" s="3" t="n">
        <v>2213.16</v>
      </c>
      <c r="N253" s="3">
        <f>L253*M253</f>
        <v/>
      </c>
      <c r="O253" s="3">
        <f>N253*0.161</f>
        <v/>
      </c>
      <c r="P253" s="3">
        <f>N253-O253</f>
        <v/>
      </c>
      <c r="Q253" s="4">
        <f>IF(N253=0,0,P253/N253)</f>
        <v/>
      </c>
    </row>
    <row r="254">
      <c r="A254" t="inlineStr">
        <is>
          <t>ORD-1252</t>
        </is>
      </c>
      <c r="B254" s="2" t="n">
        <v>45568</v>
      </c>
      <c r="C254" t="n">
        <v>2024</v>
      </c>
      <c r="D254" t="inlineStr">
        <is>
          <t>Q4</t>
        </is>
      </c>
      <c r="E254" t="inlineStr">
        <is>
          <t>Oct</t>
        </is>
      </c>
      <c r="F254" t="inlineStr">
        <is>
          <t>West</t>
        </is>
      </c>
      <c r="G254" t="inlineStr">
        <is>
          <t>Enterprise</t>
        </is>
      </c>
      <c r="H254" t="inlineStr">
        <is>
          <t>Direct</t>
        </is>
      </c>
      <c r="I254" t="inlineStr">
        <is>
          <t>Subscriptions</t>
        </is>
      </c>
      <c r="J254" t="inlineStr">
        <is>
          <t>Enterprise</t>
        </is>
      </c>
      <c r="K254" t="inlineStr">
        <is>
          <t>F. Shah</t>
        </is>
      </c>
      <c r="L254" t="n">
        <v>23</v>
      </c>
      <c r="M254" s="3" t="n">
        <v>560.99</v>
      </c>
      <c r="N254" s="3">
        <f>L254*M254</f>
        <v/>
      </c>
      <c r="O254" s="3">
        <f>N254*0.156</f>
        <v/>
      </c>
      <c r="P254" s="3">
        <f>N254-O254</f>
        <v/>
      </c>
      <c r="Q254" s="4">
        <f>IF(N254=0,0,P254/N254)</f>
        <v/>
      </c>
    </row>
    <row r="255">
      <c r="A255" t="inlineStr">
        <is>
          <t>ORD-1253</t>
        </is>
      </c>
      <c r="B255" s="2" t="n">
        <v>45293</v>
      </c>
      <c r="C255" t="n">
        <v>2024</v>
      </c>
      <c r="D255" t="inlineStr">
        <is>
          <t>Q1</t>
        </is>
      </c>
      <c r="E255" t="inlineStr">
        <is>
          <t>Jan</t>
        </is>
      </c>
      <c r="F255" t="inlineStr">
        <is>
          <t>West</t>
        </is>
      </c>
      <c r="G255" t="inlineStr">
        <is>
          <t>Enterprise</t>
        </is>
      </c>
      <c r="H255" t="inlineStr">
        <is>
          <t>Partner</t>
        </is>
      </c>
      <c r="I255" t="inlineStr">
        <is>
          <t>Subscriptions</t>
        </is>
      </c>
      <c r="J255" t="inlineStr">
        <is>
          <t>Pro</t>
        </is>
      </c>
      <c r="K255" t="inlineStr">
        <is>
          <t>B. Khan</t>
        </is>
      </c>
      <c r="L255" t="n">
        <v>30</v>
      </c>
      <c r="M255" s="3" t="n">
        <v>1781.7</v>
      </c>
      <c r="N255" s="3">
        <f>L255*M255</f>
        <v/>
      </c>
      <c r="O255" s="3">
        <f>N255*0.376</f>
        <v/>
      </c>
      <c r="P255" s="3">
        <f>N255-O255</f>
        <v/>
      </c>
      <c r="Q255" s="4">
        <f>IF(N255=0,0,P255/N255)</f>
        <v/>
      </c>
    </row>
    <row r="256">
      <c r="A256" t="inlineStr">
        <is>
          <t>ORD-1254</t>
        </is>
      </c>
      <c r="B256" s="2" t="n">
        <v>45469</v>
      </c>
      <c r="C256" t="n">
        <v>2024</v>
      </c>
      <c r="D256" t="inlineStr">
        <is>
          <t>Q2</t>
        </is>
      </c>
      <c r="E256" t="inlineStr">
        <is>
          <t>Jun</t>
        </is>
      </c>
      <c r="F256" t="inlineStr">
        <is>
          <t>North</t>
        </is>
      </c>
      <c r="G256" t="inlineStr">
        <is>
          <t>SMB</t>
        </is>
      </c>
      <c r="H256" t="inlineStr">
        <is>
          <t>Self-serve</t>
        </is>
      </c>
      <c r="I256" t="inlineStr">
        <is>
          <t>Subscriptions</t>
        </is>
      </c>
      <c r="J256" t="inlineStr">
        <is>
          <t>Pro</t>
        </is>
      </c>
      <c r="K256" t="inlineStr">
        <is>
          <t>D. Iyer</t>
        </is>
      </c>
      <c r="L256" t="n">
        <v>13</v>
      </c>
      <c r="M256" s="3" t="n">
        <v>2362.3</v>
      </c>
      <c r="N256" s="3">
        <f>L256*M256</f>
        <v/>
      </c>
      <c r="O256" s="3">
        <f>N256*0.266</f>
        <v/>
      </c>
      <c r="P256" s="3">
        <f>N256-O256</f>
        <v/>
      </c>
      <c r="Q256" s="4">
        <f>IF(N256=0,0,P256/N256)</f>
        <v/>
      </c>
    </row>
    <row r="257">
      <c r="A257" t="inlineStr">
        <is>
          <t>ORD-1255</t>
        </is>
      </c>
      <c r="B257" s="2" t="n">
        <v>45300</v>
      </c>
      <c r="C257" t="n">
        <v>2024</v>
      </c>
      <c r="D257" t="inlineStr">
        <is>
          <t>Q1</t>
        </is>
      </c>
      <c r="E257" t="inlineStr">
        <is>
          <t>Jan</t>
        </is>
      </c>
      <c r="F257" t="inlineStr">
        <is>
          <t>North</t>
        </is>
      </c>
      <c r="G257" t="inlineStr">
        <is>
          <t>Mid-Market</t>
        </is>
      </c>
      <c r="H257" t="inlineStr">
        <is>
          <t>Self-serve</t>
        </is>
      </c>
      <c r="I257" t="inlineStr">
        <is>
          <t>Subscriptions</t>
        </is>
      </c>
      <c r="J257" t="inlineStr">
        <is>
          <t>Starter</t>
        </is>
      </c>
      <c r="K257" t="inlineStr">
        <is>
          <t>F. Shah</t>
        </is>
      </c>
      <c r="L257" t="n">
        <v>5</v>
      </c>
      <c r="M257" s="3" t="n">
        <v>521.97</v>
      </c>
      <c r="N257" s="3">
        <f>L257*M257</f>
        <v/>
      </c>
      <c r="O257" s="3">
        <f>N257*0.239</f>
        <v/>
      </c>
      <c r="P257" s="3">
        <f>N257-O257</f>
        <v/>
      </c>
      <c r="Q257" s="4">
        <f>IF(N257=0,0,P257/N257)</f>
        <v/>
      </c>
    </row>
    <row r="258">
      <c r="A258" t="inlineStr">
        <is>
          <t>ORD-1256</t>
        </is>
      </c>
      <c r="B258" s="2" t="n">
        <v>45316</v>
      </c>
      <c r="C258" t="n">
        <v>2024</v>
      </c>
      <c r="D258" t="inlineStr">
        <is>
          <t>Q1</t>
        </is>
      </c>
      <c r="E258" t="inlineStr">
        <is>
          <t>Jan</t>
        </is>
      </c>
      <c r="F258" t="inlineStr">
        <is>
          <t>South</t>
        </is>
      </c>
      <c r="G258" t="inlineStr">
        <is>
          <t>Enterprise</t>
        </is>
      </c>
      <c r="H258" t="inlineStr">
        <is>
          <t>Direct</t>
        </is>
      </c>
      <c r="I258" t="inlineStr">
        <is>
          <t>Subscriptions</t>
        </is>
      </c>
      <c r="J258" t="inlineStr">
        <is>
          <t>Enterprise</t>
        </is>
      </c>
      <c r="K258" t="inlineStr">
        <is>
          <t>A. Rao</t>
        </is>
      </c>
      <c r="L258" t="n">
        <v>3</v>
      </c>
      <c r="M258" s="3" t="n">
        <v>1184.98</v>
      </c>
      <c r="N258" s="3">
        <f>L258*M258</f>
        <v/>
      </c>
      <c r="O258" s="3">
        <f>N258*0.408</f>
        <v/>
      </c>
      <c r="P258" s="3">
        <f>N258-O258</f>
        <v/>
      </c>
      <c r="Q258" s="4">
        <f>IF(N258=0,0,P258/N258)</f>
        <v/>
      </c>
    </row>
    <row r="259">
      <c r="A259" t="inlineStr">
        <is>
          <t>ORD-1257</t>
        </is>
      </c>
      <c r="B259" s="2" t="n">
        <v>45440</v>
      </c>
      <c r="C259" t="n">
        <v>2024</v>
      </c>
      <c r="D259" t="inlineStr">
        <is>
          <t>Q2</t>
        </is>
      </c>
      <c r="E259" t="inlineStr">
        <is>
          <t>May</t>
        </is>
      </c>
      <c r="F259" t="inlineStr">
        <is>
          <t>East</t>
        </is>
      </c>
      <c r="G259" t="inlineStr">
        <is>
          <t>SMB</t>
        </is>
      </c>
      <c r="H259" t="inlineStr">
        <is>
          <t>Partner</t>
        </is>
      </c>
      <c r="I259" t="inlineStr">
        <is>
          <t>Subscriptions</t>
        </is>
      </c>
      <c r="J259" t="inlineStr">
        <is>
          <t>Enterprise</t>
        </is>
      </c>
      <c r="K259" t="inlineStr">
        <is>
          <t>B. Khan</t>
        </is>
      </c>
      <c r="L259" t="n">
        <v>37</v>
      </c>
      <c r="M259" s="3" t="n">
        <v>1001.59</v>
      </c>
      <c r="N259" s="3">
        <f>L259*M259</f>
        <v/>
      </c>
      <c r="O259" s="3">
        <f>N259*0.154</f>
        <v/>
      </c>
      <c r="P259" s="3">
        <f>N259-O259</f>
        <v/>
      </c>
      <c r="Q259" s="4">
        <f>IF(N259=0,0,P259/N259)</f>
        <v/>
      </c>
    </row>
    <row r="260">
      <c r="A260" t="inlineStr">
        <is>
          <t>ORD-1258</t>
        </is>
      </c>
      <c r="B260" s="2" t="n">
        <v>45558</v>
      </c>
      <c r="C260" t="n">
        <v>2024</v>
      </c>
      <c r="D260" t="inlineStr">
        <is>
          <t>Q3</t>
        </is>
      </c>
      <c r="E260" t="inlineStr">
        <is>
          <t>Sep</t>
        </is>
      </c>
      <c r="F260" t="inlineStr">
        <is>
          <t>South</t>
        </is>
      </c>
      <c r="G260" t="inlineStr">
        <is>
          <t>Enterprise</t>
        </is>
      </c>
      <c r="H260" t="inlineStr">
        <is>
          <t>Self-serve</t>
        </is>
      </c>
      <c r="I260" t="inlineStr">
        <is>
          <t>Subscriptions</t>
        </is>
      </c>
      <c r="J260" t="inlineStr">
        <is>
          <t>Pro</t>
        </is>
      </c>
      <c r="K260" t="inlineStr">
        <is>
          <t>D. Iyer</t>
        </is>
      </c>
      <c r="L260" t="n">
        <v>20</v>
      </c>
      <c r="M260" s="3" t="n">
        <v>905.34</v>
      </c>
      <c r="N260" s="3">
        <f>L260*M260</f>
        <v/>
      </c>
      <c r="O260" s="3">
        <f>N260*0.283</f>
        <v/>
      </c>
      <c r="P260" s="3">
        <f>N260-O260</f>
        <v/>
      </c>
      <c r="Q260" s="4">
        <f>IF(N260=0,0,P260/N260)</f>
        <v/>
      </c>
    </row>
    <row r="261">
      <c r="A261" t="inlineStr">
        <is>
          <t>ORD-1259</t>
        </is>
      </c>
      <c r="B261" s="2" t="n">
        <v>45316</v>
      </c>
      <c r="C261" t="n">
        <v>2024</v>
      </c>
      <c r="D261" t="inlineStr">
        <is>
          <t>Q1</t>
        </is>
      </c>
      <c r="E261" t="inlineStr">
        <is>
          <t>Jan</t>
        </is>
      </c>
      <c r="F261" t="inlineStr">
        <is>
          <t>East</t>
        </is>
      </c>
      <c r="G261" t="inlineStr">
        <is>
          <t>Enterprise</t>
        </is>
      </c>
      <c r="H261" t="inlineStr">
        <is>
          <t>Partner</t>
        </is>
      </c>
      <c r="I261" t="inlineStr">
        <is>
          <t>Add-ons</t>
        </is>
      </c>
      <c r="J261" t="inlineStr">
        <is>
          <t>Extra Seats</t>
        </is>
      </c>
      <c r="K261" t="inlineStr">
        <is>
          <t>D. Iyer</t>
        </is>
      </c>
      <c r="L261" t="n">
        <v>43</v>
      </c>
      <c r="M261" s="3" t="n">
        <v>1138.54</v>
      </c>
      <c r="N261" s="3">
        <f>L261*M261</f>
        <v/>
      </c>
      <c r="O261" s="3">
        <f>N261*0.405</f>
        <v/>
      </c>
      <c r="P261" s="3">
        <f>N261-O261</f>
        <v/>
      </c>
      <c r="Q261" s="4">
        <f>IF(N261=0,0,P261/N261)</f>
        <v/>
      </c>
    </row>
    <row r="262">
      <c r="A262" t="inlineStr">
        <is>
          <t>ORD-1260</t>
        </is>
      </c>
      <c r="B262" s="2" t="n">
        <v>45484</v>
      </c>
      <c r="C262" t="n">
        <v>2024</v>
      </c>
      <c r="D262" t="inlineStr">
        <is>
          <t>Q3</t>
        </is>
      </c>
      <c r="E262" t="inlineStr">
        <is>
          <t>Jul</t>
        </is>
      </c>
      <c r="F262" t="inlineStr">
        <is>
          <t>South</t>
        </is>
      </c>
      <c r="G262" t="inlineStr">
        <is>
          <t>Mid-Market</t>
        </is>
      </c>
      <c r="H262" t="inlineStr">
        <is>
          <t>Self-serve</t>
        </is>
      </c>
      <c r="I262" t="inlineStr">
        <is>
          <t>Subscriptions</t>
        </is>
      </c>
      <c r="J262" t="inlineStr">
        <is>
          <t>Enterprise</t>
        </is>
      </c>
      <c r="K262" t="inlineStr">
        <is>
          <t>B. Khan</t>
        </is>
      </c>
      <c r="L262" t="n">
        <v>31</v>
      </c>
      <c r="M262" s="3" t="n">
        <v>830.13</v>
      </c>
      <c r="N262" s="3">
        <f>L262*M262</f>
        <v/>
      </c>
      <c r="O262" s="3">
        <f>N262*0.208</f>
        <v/>
      </c>
      <c r="P262" s="3">
        <f>N262-O262</f>
        <v/>
      </c>
      <c r="Q262" s="4">
        <f>IF(N262=0,0,P262/N262)</f>
        <v/>
      </c>
    </row>
    <row r="263">
      <c r="A263" t="inlineStr">
        <is>
          <t>ORD-1261</t>
        </is>
      </c>
      <c r="B263" s="2" t="n">
        <v>45321</v>
      </c>
      <c r="C263" t="n">
        <v>2024</v>
      </c>
      <c r="D263" t="inlineStr">
        <is>
          <t>Q1</t>
        </is>
      </c>
      <c r="E263" t="inlineStr">
        <is>
          <t>Jan</t>
        </is>
      </c>
      <c r="F263" t="inlineStr">
        <is>
          <t>South</t>
        </is>
      </c>
      <c r="G263" t="inlineStr">
        <is>
          <t>Mid-Market</t>
        </is>
      </c>
      <c r="H263" t="inlineStr">
        <is>
          <t>Direct</t>
        </is>
      </c>
      <c r="I263" t="inlineStr">
        <is>
          <t>Services</t>
        </is>
      </c>
      <c r="J263" t="inlineStr">
        <is>
          <t>Training</t>
        </is>
      </c>
      <c r="K263" t="inlineStr">
        <is>
          <t>C. Mehta</t>
        </is>
      </c>
      <c r="L263" t="n">
        <v>27</v>
      </c>
      <c r="M263" s="3" t="n">
        <v>1526.03</v>
      </c>
      <c r="N263" s="3">
        <f>L263*M263</f>
        <v/>
      </c>
      <c r="O263" s="3">
        <f>N263*0.389</f>
        <v/>
      </c>
      <c r="P263" s="3">
        <f>N263-O263</f>
        <v/>
      </c>
      <c r="Q263" s="4">
        <f>IF(N263=0,0,P263/N263)</f>
        <v/>
      </c>
    </row>
    <row r="264">
      <c r="A264" t="inlineStr">
        <is>
          <t>ORD-1262</t>
        </is>
      </c>
      <c r="B264" s="2" t="n">
        <v>45623</v>
      </c>
      <c r="C264" t="n">
        <v>2024</v>
      </c>
      <c r="D264" t="inlineStr">
        <is>
          <t>Q4</t>
        </is>
      </c>
      <c r="E264" t="inlineStr">
        <is>
          <t>Nov</t>
        </is>
      </c>
      <c r="F264" t="inlineStr">
        <is>
          <t>South</t>
        </is>
      </c>
      <c r="G264" t="inlineStr">
        <is>
          <t>SMB</t>
        </is>
      </c>
      <c r="H264" t="inlineStr">
        <is>
          <t>Partner</t>
        </is>
      </c>
      <c r="I264" t="inlineStr">
        <is>
          <t>Subscriptions</t>
        </is>
      </c>
      <c r="J264" t="inlineStr">
        <is>
          <t>Pro</t>
        </is>
      </c>
      <c r="K264" t="inlineStr">
        <is>
          <t>D. Iyer</t>
        </is>
      </c>
      <c r="L264" t="n">
        <v>24</v>
      </c>
      <c r="M264" s="3" t="n">
        <v>503.42</v>
      </c>
      <c r="N264" s="3">
        <f>L264*M264</f>
        <v/>
      </c>
      <c r="O264" s="3">
        <f>N264*0.248</f>
        <v/>
      </c>
      <c r="P264" s="3">
        <f>N264-O264</f>
        <v/>
      </c>
      <c r="Q264" s="4">
        <f>IF(N264=0,0,P264/N264)</f>
        <v/>
      </c>
    </row>
    <row r="265">
      <c r="A265" t="inlineStr">
        <is>
          <t>ORD-1263</t>
        </is>
      </c>
      <c r="B265" s="2" t="n">
        <v>45600</v>
      </c>
      <c r="C265" t="n">
        <v>2024</v>
      </c>
      <c r="D265" t="inlineStr">
        <is>
          <t>Q4</t>
        </is>
      </c>
      <c r="E265" t="inlineStr">
        <is>
          <t>Nov</t>
        </is>
      </c>
      <c r="F265" t="inlineStr">
        <is>
          <t>South</t>
        </is>
      </c>
      <c r="G265" t="inlineStr">
        <is>
          <t>Mid-Market</t>
        </is>
      </c>
      <c r="H265" t="inlineStr">
        <is>
          <t>Direct</t>
        </is>
      </c>
      <c r="I265" t="inlineStr">
        <is>
          <t>Subscriptions</t>
        </is>
      </c>
      <c r="J265" t="inlineStr">
        <is>
          <t>Starter</t>
        </is>
      </c>
      <c r="K265" t="inlineStr">
        <is>
          <t>C. Mehta</t>
        </is>
      </c>
      <c r="L265" t="n">
        <v>13</v>
      </c>
      <c r="M265" s="3" t="n">
        <v>2070.23</v>
      </c>
      <c r="N265" s="3">
        <f>L265*M265</f>
        <v/>
      </c>
      <c r="O265" s="3">
        <f>N265*0.359</f>
        <v/>
      </c>
      <c r="P265" s="3">
        <f>N265-O265</f>
        <v/>
      </c>
      <c r="Q265" s="4">
        <f>IF(N265=0,0,P265/N265)</f>
        <v/>
      </c>
    </row>
    <row r="266">
      <c r="A266" t="inlineStr">
        <is>
          <t>ORD-1264</t>
        </is>
      </c>
      <c r="B266" s="2" t="n">
        <v>45299</v>
      </c>
      <c r="C266" t="n">
        <v>2024</v>
      </c>
      <c r="D266" t="inlineStr">
        <is>
          <t>Q1</t>
        </is>
      </c>
      <c r="E266" t="inlineStr">
        <is>
          <t>Jan</t>
        </is>
      </c>
      <c r="F266" t="inlineStr">
        <is>
          <t>West</t>
        </is>
      </c>
      <c r="G266" t="inlineStr">
        <is>
          <t>SMB</t>
        </is>
      </c>
      <c r="H266" t="inlineStr">
        <is>
          <t>Self-serve</t>
        </is>
      </c>
      <c r="I266" t="inlineStr">
        <is>
          <t>Subscriptions</t>
        </is>
      </c>
      <c r="J266" t="inlineStr">
        <is>
          <t>Starter</t>
        </is>
      </c>
      <c r="K266" t="inlineStr">
        <is>
          <t>E. Nair</t>
        </is>
      </c>
      <c r="L266" t="n">
        <v>48</v>
      </c>
      <c r="M266" s="3" t="n">
        <v>558.1</v>
      </c>
      <c r="N266" s="3">
        <f>L266*M266</f>
        <v/>
      </c>
      <c r="O266" s="3">
        <f>N266*0.239</f>
        <v/>
      </c>
      <c r="P266" s="3">
        <f>N266-O266</f>
        <v/>
      </c>
      <c r="Q266" s="4">
        <f>IF(N266=0,0,P266/N266)</f>
        <v/>
      </c>
    </row>
    <row r="267">
      <c r="A267" t="inlineStr">
        <is>
          <t>ORD-1265</t>
        </is>
      </c>
      <c r="B267" s="2" t="n">
        <v>45495</v>
      </c>
      <c r="C267" t="n">
        <v>2024</v>
      </c>
      <c r="D267" t="inlineStr">
        <is>
          <t>Q3</t>
        </is>
      </c>
      <c r="E267" t="inlineStr">
        <is>
          <t>Jul</t>
        </is>
      </c>
      <c r="F267" t="inlineStr">
        <is>
          <t>West</t>
        </is>
      </c>
      <c r="G267" t="inlineStr">
        <is>
          <t>Mid-Market</t>
        </is>
      </c>
      <c r="H267" t="inlineStr">
        <is>
          <t>Self-serve</t>
        </is>
      </c>
      <c r="I267" t="inlineStr">
        <is>
          <t>Subscriptions</t>
        </is>
      </c>
      <c r="J267" t="inlineStr">
        <is>
          <t>Enterprise</t>
        </is>
      </c>
      <c r="K267" t="inlineStr">
        <is>
          <t>F. Shah</t>
        </is>
      </c>
      <c r="L267" t="n">
        <v>21</v>
      </c>
      <c r="M267" s="3" t="n">
        <v>2006.13</v>
      </c>
      <c r="N267" s="3">
        <f>L267*M267</f>
        <v/>
      </c>
      <c r="O267" s="3">
        <f>N267*0.342</f>
        <v/>
      </c>
      <c r="P267" s="3">
        <f>N267-O267</f>
        <v/>
      </c>
      <c r="Q267" s="4">
        <f>IF(N267=0,0,P267/N267)</f>
        <v/>
      </c>
    </row>
    <row r="268">
      <c r="A268" t="inlineStr">
        <is>
          <t>ORD-1266</t>
        </is>
      </c>
      <c r="B268" s="2" t="n">
        <v>45425</v>
      </c>
      <c r="C268" t="n">
        <v>2024</v>
      </c>
      <c r="D268" t="inlineStr">
        <is>
          <t>Q2</t>
        </is>
      </c>
      <c r="E268" t="inlineStr">
        <is>
          <t>May</t>
        </is>
      </c>
      <c r="F268" t="inlineStr">
        <is>
          <t>West</t>
        </is>
      </c>
      <c r="G268" t="inlineStr">
        <is>
          <t>Mid-Market</t>
        </is>
      </c>
      <c r="H268" t="inlineStr">
        <is>
          <t>Direct</t>
        </is>
      </c>
      <c r="I268" t="inlineStr">
        <is>
          <t>Add-ons</t>
        </is>
      </c>
      <c r="J268" t="inlineStr">
        <is>
          <t>Extra Seats</t>
        </is>
      </c>
      <c r="K268" t="inlineStr">
        <is>
          <t>C. Mehta</t>
        </is>
      </c>
      <c r="L268" t="n">
        <v>32</v>
      </c>
      <c r="M268" s="3" t="n">
        <v>1325.21</v>
      </c>
      <c r="N268" s="3">
        <f>L268*M268</f>
        <v/>
      </c>
      <c r="O268" s="3">
        <f>N268*0.356</f>
        <v/>
      </c>
      <c r="P268" s="3">
        <f>N268-O268</f>
        <v/>
      </c>
      <c r="Q268" s="4">
        <f>IF(N268=0,0,P268/N268)</f>
        <v/>
      </c>
    </row>
    <row r="269">
      <c r="A269" t="inlineStr">
        <is>
          <t>ORD-1267</t>
        </is>
      </c>
      <c r="B269" s="2" t="n">
        <v>45315</v>
      </c>
      <c r="C269" t="n">
        <v>2024</v>
      </c>
      <c r="D269" t="inlineStr">
        <is>
          <t>Q1</t>
        </is>
      </c>
      <c r="E269" t="inlineStr">
        <is>
          <t>Jan</t>
        </is>
      </c>
      <c r="F269" t="inlineStr">
        <is>
          <t>East</t>
        </is>
      </c>
      <c r="G269" t="inlineStr">
        <is>
          <t>Enterprise</t>
        </is>
      </c>
      <c r="H269" t="inlineStr">
        <is>
          <t>Self-serve</t>
        </is>
      </c>
      <c r="I269" t="inlineStr">
        <is>
          <t>Services</t>
        </is>
      </c>
      <c r="J269" t="inlineStr">
        <is>
          <t>Onboarding</t>
        </is>
      </c>
      <c r="K269" t="inlineStr">
        <is>
          <t>E. Nair</t>
        </is>
      </c>
      <c r="L269" t="n">
        <v>48</v>
      </c>
      <c r="M269" s="3" t="n">
        <v>621.03</v>
      </c>
      <c r="N269" s="3">
        <f>L269*M269</f>
        <v/>
      </c>
      <c r="O269" s="3">
        <f>N269*0.234</f>
        <v/>
      </c>
      <c r="P269" s="3">
        <f>N269-O269</f>
        <v/>
      </c>
      <c r="Q269" s="4">
        <f>IF(N269=0,0,P269/N269)</f>
        <v/>
      </c>
    </row>
    <row r="270">
      <c r="A270" t="inlineStr">
        <is>
          <t>ORD-1268</t>
        </is>
      </c>
      <c r="B270" s="2" t="n">
        <v>45443</v>
      </c>
      <c r="C270" t="n">
        <v>2024</v>
      </c>
      <c r="D270" t="inlineStr">
        <is>
          <t>Q2</t>
        </is>
      </c>
      <c r="E270" t="inlineStr">
        <is>
          <t>May</t>
        </is>
      </c>
      <c r="F270" t="inlineStr">
        <is>
          <t>South</t>
        </is>
      </c>
      <c r="G270" t="inlineStr">
        <is>
          <t>Mid-Market</t>
        </is>
      </c>
      <c r="H270" t="inlineStr">
        <is>
          <t>Self-serve</t>
        </is>
      </c>
      <c r="I270" t="inlineStr">
        <is>
          <t>Subscriptions</t>
        </is>
      </c>
      <c r="J270" t="inlineStr">
        <is>
          <t>Starter</t>
        </is>
      </c>
      <c r="K270" t="inlineStr">
        <is>
          <t>F. Shah</t>
        </is>
      </c>
      <c r="L270" t="n">
        <v>22</v>
      </c>
      <c r="M270" s="3" t="n">
        <v>806.04</v>
      </c>
      <c r="N270" s="3">
        <f>L270*M270</f>
        <v/>
      </c>
      <c r="O270" s="3">
        <f>N270*0.167</f>
        <v/>
      </c>
      <c r="P270" s="3">
        <f>N270-O270</f>
        <v/>
      </c>
      <c r="Q270" s="4">
        <f>IF(N270=0,0,P270/N270)</f>
        <v/>
      </c>
    </row>
    <row r="271">
      <c r="A271" t="inlineStr">
        <is>
          <t>ORD-1269</t>
        </is>
      </c>
      <c r="B271" s="2" t="n">
        <v>45464</v>
      </c>
      <c r="C271" t="n">
        <v>2024</v>
      </c>
      <c r="D271" t="inlineStr">
        <is>
          <t>Q2</t>
        </is>
      </c>
      <c r="E271" t="inlineStr">
        <is>
          <t>Jun</t>
        </is>
      </c>
      <c r="F271" t="inlineStr">
        <is>
          <t>West</t>
        </is>
      </c>
      <c r="G271" t="inlineStr">
        <is>
          <t>Mid-Market</t>
        </is>
      </c>
      <c r="H271" t="inlineStr">
        <is>
          <t>Direct</t>
        </is>
      </c>
      <c r="I271" t="inlineStr">
        <is>
          <t>Add-ons</t>
        </is>
      </c>
      <c r="J271" t="inlineStr">
        <is>
          <t>Support Plus</t>
        </is>
      </c>
      <c r="K271" t="inlineStr">
        <is>
          <t>F. Shah</t>
        </is>
      </c>
      <c r="L271" t="n">
        <v>47</v>
      </c>
      <c r="M271" s="3" t="n">
        <v>1711.73</v>
      </c>
      <c r="N271" s="3">
        <f>L271*M271</f>
        <v/>
      </c>
      <c r="O271" s="3">
        <f>N271*0.212</f>
        <v/>
      </c>
      <c r="P271" s="3">
        <f>N271-O271</f>
        <v/>
      </c>
      <c r="Q271" s="4">
        <f>IF(N271=0,0,P271/N271)</f>
        <v/>
      </c>
    </row>
    <row r="272">
      <c r="A272" t="inlineStr">
        <is>
          <t>ORD-1270</t>
        </is>
      </c>
      <c r="B272" s="2" t="n">
        <v>45378</v>
      </c>
      <c r="C272" t="n">
        <v>2024</v>
      </c>
      <c r="D272" t="inlineStr">
        <is>
          <t>Q1</t>
        </is>
      </c>
      <c r="E272" t="inlineStr">
        <is>
          <t>Mar</t>
        </is>
      </c>
      <c r="F272" t="inlineStr">
        <is>
          <t>North</t>
        </is>
      </c>
      <c r="G272" t="inlineStr">
        <is>
          <t>Enterprise</t>
        </is>
      </c>
      <c r="H272" t="inlineStr">
        <is>
          <t>Direct</t>
        </is>
      </c>
      <c r="I272" t="inlineStr">
        <is>
          <t>Subscriptions</t>
        </is>
      </c>
      <c r="J272" t="inlineStr">
        <is>
          <t>Enterprise</t>
        </is>
      </c>
      <c r="K272" t="inlineStr">
        <is>
          <t>A. Rao</t>
        </is>
      </c>
      <c r="L272" t="n">
        <v>35</v>
      </c>
      <c r="M272" s="3" t="n">
        <v>1374.3</v>
      </c>
      <c r="N272" s="3">
        <f>L272*M272</f>
        <v/>
      </c>
      <c r="O272" s="3">
        <f>N272*0.166</f>
        <v/>
      </c>
      <c r="P272" s="3">
        <f>N272-O272</f>
        <v/>
      </c>
      <c r="Q272" s="4">
        <f>IF(N272=0,0,P272/N272)</f>
        <v/>
      </c>
    </row>
    <row r="273">
      <c r="A273" t="inlineStr">
        <is>
          <t>ORD-1271</t>
        </is>
      </c>
      <c r="B273" s="2" t="n">
        <v>45634</v>
      </c>
      <c r="C273" t="n">
        <v>2024</v>
      </c>
      <c r="D273" t="inlineStr">
        <is>
          <t>Q4</t>
        </is>
      </c>
      <c r="E273" t="inlineStr">
        <is>
          <t>Dec</t>
        </is>
      </c>
      <c r="F273" t="inlineStr">
        <is>
          <t>South</t>
        </is>
      </c>
      <c r="G273" t="inlineStr">
        <is>
          <t>SMB</t>
        </is>
      </c>
      <c r="H273" t="inlineStr">
        <is>
          <t>Self-serve</t>
        </is>
      </c>
      <c r="I273" t="inlineStr">
        <is>
          <t>Subscriptions</t>
        </is>
      </c>
      <c r="J273" t="inlineStr">
        <is>
          <t>Starter</t>
        </is>
      </c>
      <c r="K273" t="inlineStr">
        <is>
          <t>B. Khan</t>
        </is>
      </c>
      <c r="L273" t="n">
        <v>27</v>
      </c>
      <c r="M273" s="3" t="n">
        <v>602.48</v>
      </c>
      <c r="N273" s="3">
        <f>L273*M273</f>
        <v/>
      </c>
      <c r="O273" s="3">
        <f>N273*0.447</f>
        <v/>
      </c>
      <c r="P273" s="3">
        <f>N273-O273</f>
        <v/>
      </c>
      <c r="Q273" s="4">
        <f>IF(N273=0,0,P273/N273)</f>
        <v/>
      </c>
    </row>
    <row r="274">
      <c r="A274" t="inlineStr">
        <is>
          <t>ORD-1272</t>
        </is>
      </c>
      <c r="B274" s="2" t="n">
        <v>45550</v>
      </c>
      <c r="C274" t="n">
        <v>2024</v>
      </c>
      <c r="D274" t="inlineStr">
        <is>
          <t>Q3</t>
        </is>
      </c>
      <c r="E274" t="inlineStr">
        <is>
          <t>Sep</t>
        </is>
      </c>
      <c r="F274" t="inlineStr">
        <is>
          <t>West</t>
        </is>
      </c>
      <c r="G274" t="inlineStr">
        <is>
          <t>Enterprise</t>
        </is>
      </c>
      <c r="H274" t="inlineStr">
        <is>
          <t>Partner</t>
        </is>
      </c>
      <c r="I274" t="inlineStr">
        <is>
          <t>Add-ons</t>
        </is>
      </c>
      <c r="J274" t="inlineStr">
        <is>
          <t>Support Plus</t>
        </is>
      </c>
      <c r="K274" t="inlineStr">
        <is>
          <t>A. Rao</t>
        </is>
      </c>
      <c r="L274" t="n">
        <v>4</v>
      </c>
      <c r="M274" s="3" t="n">
        <v>1659.24</v>
      </c>
      <c r="N274" s="3">
        <f>L274*M274</f>
        <v/>
      </c>
      <c r="O274" s="3">
        <f>N274*0.448</f>
        <v/>
      </c>
      <c r="P274" s="3">
        <f>N274-O274</f>
        <v/>
      </c>
      <c r="Q274" s="4">
        <f>IF(N274=0,0,P274/N274)</f>
        <v/>
      </c>
    </row>
    <row r="275">
      <c r="A275" t="inlineStr">
        <is>
          <t>ORD-1273</t>
        </is>
      </c>
      <c r="B275" s="2" t="n">
        <v>45574</v>
      </c>
      <c r="C275" t="n">
        <v>2024</v>
      </c>
      <c r="D275" t="inlineStr">
        <is>
          <t>Q4</t>
        </is>
      </c>
      <c r="E275" t="inlineStr">
        <is>
          <t>Oct</t>
        </is>
      </c>
      <c r="F275" t="inlineStr">
        <is>
          <t>East</t>
        </is>
      </c>
      <c r="G275" t="inlineStr">
        <is>
          <t>Enterprise</t>
        </is>
      </c>
      <c r="H275" t="inlineStr">
        <is>
          <t>Partner</t>
        </is>
      </c>
      <c r="I275" t="inlineStr">
        <is>
          <t>Add-ons</t>
        </is>
      </c>
      <c r="J275" t="inlineStr">
        <is>
          <t>Analytics</t>
        </is>
      </c>
      <c r="K275" t="inlineStr">
        <is>
          <t>A. Rao</t>
        </is>
      </c>
      <c r="L275" t="n">
        <v>2</v>
      </c>
      <c r="M275" s="3" t="n">
        <v>1464.72</v>
      </c>
      <c r="N275" s="3">
        <f>L275*M275</f>
        <v/>
      </c>
      <c r="O275" s="3">
        <f>N275*0.299</f>
        <v/>
      </c>
      <c r="P275" s="3">
        <f>N275-O275</f>
        <v/>
      </c>
      <c r="Q275" s="4">
        <f>IF(N275=0,0,P275/N275)</f>
        <v/>
      </c>
    </row>
    <row r="276">
      <c r="A276" t="inlineStr">
        <is>
          <t>ORD-1274</t>
        </is>
      </c>
      <c r="B276" s="2" t="n">
        <v>45649</v>
      </c>
      <c r="C276" t="n">
        <v>2024</v>
      </c>
      <c r="D276" t="inlineStr">
        <is>
          <t>Q4</t>
        </is>
      </c>
      <c r="E276" t="inlineStr">
        <is>
          <t>Dec</t>
        </is>
      </c>
      <c r="F276" t="inlineStr">
        <is>
          <t>North</t>
        </is>
      </c>
      <c r="G276" t="inlineStr">
        <is>
          <t>Enterprise</t>
        </is>
      </c>
      <c r="H276" t="inlineStr">
        <is>
          <t>Direct</t>
        </is>
      </c>
      <c r="I276" t="inlineStr">
        <is>
          <t>Services</t>
        </is>
      </c>
      <c r="J276" t="inlineStr">
        <is>
          <t>Training</t>
        </is>
      </c>
      <c r="K276" t="inlineStr">
        <is>
          <t>B. Khan</t>
        </is>
      </c>
      <c r="L276" t="n">
        <v>12</v>
      </c>
      <c r="M276" s="3" t="n">
        <v>535.4400000000001</v>
      </c>
      <c r="N276" s="3">
        <f>L276*M276</f>
        <v/>
      </c>
      <c r="O276" s="3">
        <f>N276*0.392</f>
        <v/>
      </c>
      <c r="P276" s="3">
        <f>N276-O276</f>
        <v/>
      </c>
      <c r="Q276" s="4">
        <f>IF(N276=0,0,P276/N276)</f>
        <v/>
      </c>
    </row>
    <row r="277">
      <c r="A277" t="inlineStr">
        <is>
          <t>ORD-1275</t>
        </is>
      </c>
      <c r="B277" s="2" t="n">
        <v>45561</v>
      </c>
      <c r="C277" t="n">
        <v>2024</v>
      </c>
      <c r="D277" t="inlineStr">
        <is>
          <t>Q3</t>
        </is>
      </c>
      <c r="E277" t="inlineStr">
        <is>
          <t>Sep</t>
        </is>
      </c>
      <c r="F277" t="inlineStr">
        <is>
          <t>North</t>
        </is>
      </c>
      <c r="G277" t="inlineStr">
        <is>
          <t>Mid-Market</t>
        </is>
      </c>
      <c r="H277" t="inlineStr">
        <is>
          <t>Partner</t>
        </is>
      </c>
      <c r="I277" t="inlineStr">
        <is>
          <t>Add-ons</t>
        </is>
      </c>
      <c r="J277" t="inlineStr">
        <is>
          <t>Support Plus</t>
        </is>
      </c>
      <c r="K277" t="inlineStr">
        <is>
          <t>D. Iyer</t>
        </is>
      </c>
      <c r="L277" t="n">
        <v>18</v>
      </c>
      <c r="M277" s="3" t="n">
        <v>2048.86</v>
      </c>
      <c r="N277" s="3">
        <f>L277*M277</f>
        <v/>
      </c>
      <c r="O277" s="3">
        <f>N277*0.28</f>
        <v/>
      </c>
      <c r="P277" s="3">
        <f>N277-O277</f>
        <v/>
      </c>
      <c r="Q277" s="4">
        <f>IF(N277=0,0,P277/N277)</f>
        <v/>
      </c>
    </row>
    <row r="278">
      <c r="A278" t="inlineStr">
        <is>
          <t>ORD-1276</t>
        </is>
      </c>
      <c r="B278" s="2" t="n">
        <v>45648</v>
      </c>
      <c r="C278" t="n">
        <v>2024</v>
      </c>
      <c r="D278" t="inlineStr">
        <is>
          <t>Q4</t>
        </is>
      </c>
      <c r="E278" t="inlineStr">
        <is>
          <t>Dec</t>
        </is>
      </c>
      <c r="F278" t="inlineStr">
        <is>
          <t>North</t>
        </is>
      </c>
      <c r="G278" t="inlineStr">
        <is>
          <t>Enterprise</t>
        </is>
      </c>
      <c r="H278" t="inlineStr">
        <is>
          <t>Self-serve</t>
        </is>
      </c>
      <c r="I278" t="inlineStr">
        <is>
          <t>Subscriptions</t>
        </is>
      </c>
      <c r="J278" t="inlineStr">
        <is>
          <t>Pro</t>
        </is>
      </c>
      <c r="K278" t="inlineStr">
        <is>
          <t>A. Rao</t>
        </is>
      </c>
      <c r="L278" t="n">
        <v>44</v>
      </c>
      <c r="M278" s="3" t="n">
        <v>2121.74</v>
      </c>
      <c r="N278" s="3">
        <f>L278*M278</f>
        <v/>
      </c>
      <c r="O278" s="3">
        <f>N278*0.422</f>
        <v/>
      </c>
      <c r="P278" s="3">
        <f>N278-O278</f>
        <v/>
      </c>
      <c r="Q278" s="4">
        <f>IF(N278=0,0,P278/N278)</f>
        <v/>
      </c>
    </row>
    <row r="279">
      <c r="A279" t="inlineStr">
        <is>
          <t>ORD-1277</t>
        </is>
      </c>
      <c r="B279" s="2" t="n">
        <v>45486</v>
      </c>
      <c r="C279" t="n">
        <v>2024</v>
      </c>
      <c r="D279" t="inlineStr">
        <is>
          <t>Q3</t>
        </is>
      </c>
      <c r="E279" t="inlineStr">
        <is>
          <t>Jul</t>
        </is>
      </c>
      <c r="F279" t="inlineStr">
        <is>
          <t>North</t>
        </is>
      </c>
      <c r="G279" t="inlineStr">
        <is>
          <t>Enterprise</t>
        </is>
      </c>
      <c r="H279" t="inlineStr">
        <is>
          <t>Direct</t>
        </is>
      </c>
      <c r="I279" t="inlineStr">
        <is>
          <t>Add-ons</t>
        </is>
      </c>
      <c r="J279" t="inlineStr">
        <is>
          <t>Extra Seats</t>
        </is>
      </c>
      <c r="K279" t="inlineStr">
        <is>
          <t>A. Rao</t>
        </is>
      </c>
      <c r="L279" t="n">
        <v>31</v>
      </c>
      <c r="M279" s="3" t="n">
        <v>423.45</v>
      </c>
      <c r="N279" s="3">
        <f>L279*M279</f>
        <v/>
      </c>
      <c r="O279" s="3">
        <f>N279*0.3</f>
        <v/>
      </c>
      <c r="P279" s="3">
        <f>N279-O279</f>
        <v/>
      </c>
      <c r="Q279" s="4">
        <f>IF(N279=0,0,P279/N279)</f>
        <v/>
      </c>
    </row>
    <row r="280">
      <c r="A280" t="inlineStr">
        <is>
          <t>ORD-1278</t>
        </is>
      </c>
      <c r="B280" s="2" t="n">
        <v>45514</v>
      </c>
      <c r="C280" t="n">
        <v>2024</v>
      </c>
      <c r="D280" t="inlineStr">
        <is>
          <t>Q3</t>
        </is>
      </c>
      <c r="E280" t="inlineStr">
        <is>
          <t>Aug</t>
        </is>
      </c>
      <c r="F280" t="inlineStr">
        <is>
          <t>North</t>
        </is>
      </c>
      <c r="G280" t="inlineStr">
        <is>
          <t>Enterprise</t>
        </is>
      </c>
      <c r="H280" t="inlineStr">
        <is>
          <t>Direct</t>
        </is>
      </c>
      <c r="I280" t="inlineStr">
        <is>
          <t>Services</t>
        </is>
      </c>
      <c r="J280" t="inlineStr">
        <is>
          <t>Training</t>
        </is>
      </c>
      <c r="K280" t="inlineStr">
        <is>
          <t>B. Khan</t>
        </is>
      </c>
      <c r="L280" t="n">
        <v>37</v>
      </c>
      <c r="M280" s="3" t="n">
        <v>2450.12</v>
      </c>
      <c r="N280" s="3">
        <f>L280*M280</f>
        <v/>
      </c>
      <c r="O280" s="3">
        <f>N280*0.387</f>
        <v/>
      </c>
      <c r="P280" s="3">
        <f>N280-O280</f>
        <v/>
      </c>
      <c r="Q280" s="4">
        <f>IF(N280=0,0,P280/N280)</f>
        <v/>
      </c>
    </row>
    <row r="281">
      <c r="A281" t="inlineStr">
        <is>
          <t>ORD-1279</t>
        </is>
      </c>
      <c r="B281" s="2" t="n">
        <v>45646</v>
      </c>
      <c r="C281" t="n">
        <v>2024</v>
      </c>
      <c r="D281" t="inlineStr">
        <is>
          <t>Q4</t>
        </is>
      </c>
      <c r="E281" t="inlineStr">
        <is>
          <t>Dec</t>
        </is>
      </c>
      <c r="F281" t="inlineStr">
        <is>
          <t>North</t>
        </is>
      </c>
      <c r="G281" t="inlineStr">
        <is>
          <t>Enterprise</t>
        </is>
      </c>
      <c r="H281" t="inlineStr">
        <is>
          <t>Partner</t>
        </is>
      </c>
      <c r="I281" t="inlineStr">
        <is>
          <t>Services</t>
        </is>
      </c>
      <c r="J281" t="inlineStr">
        <is>
          <t>Training</t>
        </is>
      </c>
      <c r="K281" t="inlineStr">
        <is>
          <t>E. Nair</t>
        </is>
      </c>
      <c r="L281" t="n">
        <v>18</v>
      </c>
      <c r="M281" s="3" t="n">
        <v>402.44</v>
      </c>
      <c r="N281" s="3">
        <f>L281*M281</f>
        <v/>
      </c>
      <c r="O281" s="3">
        <f>N281*0.281</f>
        <v/>
      </c>
      <c r="P281" s="3">
        <f>N281-O281</f>
        <v/>
      </c>
      <c r="Q281" s="4">
        <f>IF(N281=0,0,P281/N281)</f>
        <v/>
      </c>
    </row>
    <row r="282">
      <c r="A282" t="inlineStr">
        <is>
          <t>ORD-1280</t>
        </is>
      </c>
      <c r="B282" s="2" t="n">
        <v>45308</v>
      </c>
      <c r="C282" t="n">
        <v>2024</v>
      </c>
      <c r="D282" t="inlineStr">
        <is>
          <t>Q1</t>
        </is>
      </c>
      <c r="E282" t="inlineStr">
        <is>
          <t>Jan</t>
        </is>
      </c>
      <c r="F282" t="inlineStr">
        <is>
          <t>South</t>
        </is>
      </c>
      <c r="G282" t="inlineStr">
        <is>
          <t>Enterprise</t>
        </is>
      </c>
      <c r="H282" t="inlineStr">
        <is>
          <t>Partner</t>
        </is>
      </c>
      <c r="I282" t="inlineStr">
        <is>
          <t>Subscriptions</t>
        </is>
      </c>
      <c r="J282" t="inlineStr">
        <is>
          <t>Pro</t>
        </is>
      </c>
      <c r="K282" t="inlineStr">
        <is>
          <t>A. Rao</t>
        </is>
      </c>
      <c r="L282" t="n">
        <v>2</v>
      </c>
      <c r="M282" s="3" t="n">
        <v>2415.23</v>
      </c>
      <c r="N282" s="3">
        <f>L282*M282</f>
        <v/>
      </c>
      <c r="O282" s="3">
        <f>N282*0.36</f>
        <v/>
      </c>
      <c r="P282" s="3">
        <f>N282-O282</f>
        <v/>
      </c>
      <c r="Q282" s="4">
        <f>IF(N282=0,0,P282/N282)</f>
        <v/>
      </c>
    </row>
    <row r="283">
      <c r="A283" t="inlineStr">
        <is>
          <t>ORD-1281</t>
        </is>
      </c>
      <c r="B283" s="2" t="n">
        <v>45580</v>
      </c>
      <c r="C283" t="n">
        <v>2024</v>
      </c>
      <c r="D283" t="inlineStr">
        <is>
          <t>Q4</t>
        </is>
      </c>
      <c r="E283" t="inlineStr">
        <is>
          <t>Oct</t>
        </is>
      </c>
      <c r="F283" t="inlineStr">
        <is>
          <t>East</t>
        </is>
      </c>
      <c r="G283" t="inlineStr">
        <is>
          <t>Mid-Market</t>
        </is>
      </c>
      <c r="H283" t="inlineStr">
        <is>
          <t>Self-serve</t>
        </is>
      </c>
      <c r="I283" t="inlineStr">
        <is>
          <t>Subscriptions</t>
        </is>
      </c>
      <c r="J283" t="inlineStr">
        <is>
          <t>Enterprise</t>
        </is>
      </c>
      <c r="K283" t="inlineStr">
        <is>
          <t>B. Khan</t>
        </is>
      </c>
      <c r="L283" t="n">
        <v>25</v>
      </c>
      <c r="M283" s="3" t="n">
        <v>1789.48</v>
      </c>
      <c r="N283" s="3">
        <f>L283*M283</f>
        <v/>
      </c>
      <c r="O283" s="3">
        <f>N283*0.213</f>
        <v/>
      </c>
      <c r="P283" s="3">
        <f>N283-O283</f>
        <v/>
      </c>
      <c r="Q283" s="4">
        <f>IF(N283=0,0,P283/N283)</f>
        <v/>
      </c>
    </row>
    <row r="284">
      <c r="A284" t="inlineStr">
        <is>
          <t>ORD-1282</t>
        </is>
      </c>
      <c r="B284" s="2" t="n">
        <v>45644</v>
      </c>
      <c r="C284" t="n">
        <v>2024</v>
      </c>
      <c r="D284" t="inlineStr">
        <is>
          <t>Q4</t>
        </is>
      </c>
      <c r="E284" t="inlineStr">
        <is>
          <t>Dec</t>
        </is>
      </c>
      <c r="F284" t="inlineStr">
        <is>
          <t>East</t>
        </is>
      </c>
      <c r="G284" t="inlineStr">
        <is>
          <t>SMB</t>
        </is>
      </c>
      <c r="H284" t="inlineStr">
        <is>
          <t>Direct</t>
        </is>
      </c>
      <c r="I284" t="inlineStr">
        <is>
          <t>Services</t>
        </is>
      </c>
      <c r="J284" t="inlineStr">
        <is>
          <t>Onboarding</t>
        </is>
      </c>
      <c r="K284" t="inlineStr">
        <is>
          <t>D. Iyer</t>
        </is>
      </c>
      <c r="L284" t="n">
        <v>33</v>
      </c>
      <c r="M284" s="3" t="n">
        <v>1940</v>
      </c>
      <c r="N284" s="3">
        <f>L284*M284</f>
        <v/>
      </c>
      <c r="O284" s="3">
        <f>N284*0.38</f>
        <v/>
      </c>
      <c r="P284" s="3">
        <f>N284-O284</f>
        <v/>
      </c>
      <c r="Q284" s="4">
        <f>IF(N284=0,0,P284/N284)</f>
        <v/>
      </c>
    </row>
    <row r="285">
      <c r="A285" t="inlineStr">
        <is>
          <t>ORD-1283</t>
        </is>
      </c>
      <c r="B285" s="2" t="n">
        <v>45330</v>
      </c>
      <c r="C285" t="n">
        <v>2024</v>
      </c>
      <c r="D285" t="inlineStr">
        <is>
          <t>Q1</t>
        </is>
      </c>
      <c r="E285" t="inlineStr">
        <is>
          <t>Feb</t>
        </is>
      </c>
      <c r="F285" t="inlineStr">
        <is>
          <t>West</t>
        </is>
      </c>
      <c r="G285" t="inlineStr">
        <is>
          <t>Mid-Market</t>
        </is>
      </c>
      <c r="H285" t="inlineStr">
        <is>
          <t>Direct</t>
        </is>
      </c>
      <c r="I285" t="inlineStr">
        <is>
          <t>Add-ons</t>
        </is>
      </c>
      <c r="J285" t="inlineStr">
        <is>
          <t>Extra Seats</t>
        </is>
      </c>
      <c r="K285" t="inlineStr">
        <is>
          <t>F. Shah</t>
        </is>
      </c>
      <c r="L285" t="n">
        <v>50</v>
      </c>
      <c r="M285" s="3" t="n">
        <v>1650.5</v>
      </c>
      <c r="N285" s="3">
        <f>L285*M285</f>
        <v/>
      </c>
      <c r="O285" s="3">
        <f>N285*0.368</f>
        <v/>
      </c>
      <c r="P285" s="3">
        <f>N285-O285</f>
        <v/>
      </c>
      <c r="Q285" s="4">
        <f>IF(N285=0,0,P285/N285)</f>
        <v/>
      </c>
    </row>
    <row r="286">
      <c r="A286" t="inlineStr">
        <is>
          <t>ORD-1284</t>
        </is>
      </c>
      <c r="B286" s="2" t="n">
        <v>45522</v>
      </c>
      <c r="C286" t="n">
        <v>2024</v>
      </c>
      <c r="D286" t="inlineStr">
        <is>
          <t>Q3</t>
        </is>
      </c>
      <c r="E286" t="inlineStr">
        <is>
          <t>Aug</t>
        </is>
      </c>
      <c r="F286" t="inlineStr">
        <is>
          <t>West</t>
        </is>
      </c>
      <c r="G286" t="inlineStr">
        <is>
          <t>Mid-Market</t>
        </is>
      </c>
      <c r="H286" t="inlineStr">
        <is>
          <t>Direct</t>
        </is>
      </c>
      <c r="I286" t="inlineStr">
        <is>
          <t>Add-ons</t>
        </is>
      </c>
      <c r="J286" t="inlineStr">
        <is>
          <t>Analytics</t>
        </is>
      </c>
      <c r="K286" t="inlineStr">
        <is>
          <t>F. Shah</t>
        </is>
      </c>
      <c r="L286" t="n">
        <v>23</v>
      </c>
      <c r="M286" s="3" t="n">
        <v>1516.68</v>
      </c>
      <c r="N286" s="3">
        <f>L286*M286</f>
        <v/>
      </c>
      <c r="O286" s="3">
        <f>N286*0.274</f>
        <v/>
      </c>
      <c r="P286" s="3">
        <f>N286-O286</f>
        <v/>
      </c>
      <c r="Q286" s="4">
        <f>IF(N286=0,0,P286/N286)</f>
        <v/>
      </c>
    </row>
    <row r="287">
      <c r="A287" t="inlineStr">
        <is>
          <t>ORD-1285</t>
        </is>
      </c>
      <c r="B287" s="2" t="n">
        <v>45486</v>
      </c>
      <c r="C287" t="n">
        <v>2024</v>
      </c>
      <c r="D287" t="inlineStr">
        <is>
          <t>Q3</t>
        </is>
      </c>
      <c r="E287" t="inlineStr">
        <is>
          <t>Jul</t>
        </is>
      </c>
      <c r="F287" t="inlineStr">
        <is>
          <t>North</t>
        </is>
      </c>
      <c r="G287" t="inlineStr">
        <is>
          <t>SMB</t>
        </is>
      </c>
      <c r="H287" t="inlineStr">
        <is>
          <t>Partner</t>
        </is>
      </c>
      <c r="I287" t="inlineStr">
        <is>
          <t>Subscriptions</t>
        </is>
      </c>
      <c r="J287" t="inlineStr">
        <is>
          <t>Enterprise</t>
        </is>
      </c>
      <c r="K287" t="inlineStr">
        <is>
          <t>B. Khan</t>
        </is>
      </c>
      <c r="L287" t="n">
        <v>19</v>
      </c>
      <c r="M287" s="3" t="n">
        <v>2055.72</v>
      </c>
      <c r="N287" s="3">
        <f>L287*M287</f>
        <v/>
      </c>
      <c r="O287" s="3">
        <f>N287*0.336</f>
        <v/>
      </c>
      <c r="P287" s="3">
        <f>N287-O287</f>
        <v/>
      </c>
      <c r="Q287" s="4">
        <f>IF(N287=0,0,P287/N287)</f>
        <v/>
      </c>
    </row>
    <row r="288">
      <c r="A288" t="inlineStr">
        <is>
          <t>ORD-1286</t>
        </is>
      </c>
      <c r="B288" s="2" t="n">
        <v>45616</v>
      </c>
      <c r="C288" t="n">
        <v>2024</v>
      </c>
      <c r="D288" t="inlineStr">
        <is>
          <t>Q4</t>
        </is>
      </c>
      <c r="E288" t="inlineStr">
        <is>
          <t>Nov</t>
        </is>
      </c>
      <c r="F288" t="inlineStr">
        <is>
          <t>North</t>
        </is>
      </c>
      <c r="G288" t="inlineStr">
        <is>
          <t>SMB</t>
        </is>
      </c>
      <c r="H288" t="inlineStr">
        <is>
          <t>Direct</t>
        </is>
      </c>
      <c r="I288" t="inlineStr">
        <is>
          <t>Subscriptions</t>
        </is>
      </c>
      <c r="J288" t="inlineStr">
        <is>
          <t>Enterprise</t>
        </is>
      </c>
      <c r="K288" t="inlineStr">
        <is>
          <t>C. Mehta</t>
        </is>
      </c>
      <c r="L288" t="n">
        <v>25</v>
      </c>
      <c r="M288" s="3" t="n">
        <v>996.6900000000001</v>
      </c>
      <c r="N288" s="3">
        <f>L288*M288</f>
        <v/>
      </c>
      <c r="O288" s="3">
        <f>N288*0.317</f>
        <v/>
      </c>
      <c r="P288" s="3">
        <f>N288-O288</f>
        <v/>
      </c>
      <c r="Q288" s="4">
        <f>IF(N288=0,0,P288/N288)</f>
        <v/>
      </c>
    </row>
    <row r="289">
      <c r="A289" t="inlineStr">
        <is>
          <t>ORD-1287</t>
        </is>
      </c>
      <c r="B289" s="2" t="n">
        <v>45430</v>
      </c>
      <c r="C289" t="n">
        <v>2024</v>
      </c>
      <c r="D289" t="inlineStr">
        <is>
          <t>Q2</t>
        </is>
      </c>
      <c r="E289" t="inlineStr">
        <is>
          <t>May</t>
        </is>
      </c>
      <c r="F289" t="inlineStr">
        <is>
          <t>West</t>
        </is>
      </c>
      <c r="G289" t="inlineStr">
        <is>
          <t>Enterprise</t>
        </is>
      </c>
      <c r="H289" t="inlineStr">
        <is>
          <t>Self-serve</t>
        </is>
      </c>
      <c r="I289" t="inlineStr">
        <is>
          <t>Subscriptions</t>
        </is>
      </c>
      <c r="J289" t="inlineStr">
        <is>
          <t>Starter</t>
        </is>
      </c>
      <c r="K289" t="inlineStr">
        <is>
          <t>E. Nair</t>
        </is>
      </c>
      <c r="L289" t="n">
        <v>6</v>
      </c>
      <c r="M289" s="3" t="n">
        <v>712.26</v>
      </c>
      <c r="N289" s="3">
        <f>L289*M289</f>
        <v/>
      </c>
      <c r="O289" s="3">
        <f>N289*0.328</f>
        <v/>
      </c>
      <c r="P289" s="3">
        <f>N289-O289</f>
        <v/>
      </c>
      <c r="Q289" s="4">
        <f>IF(N289=0,0,P289/N289)</f>
        <v/>
      </c>
    </row>
    <row r="290">
      <c r="A290" t="inlineStr">
        <is>
          <t>ORD-1288</t>
        </is>
      </c>
      <c r="B290" s="2" t="n">
        <v>45305</v>
      </c>
      <c r="C290" t="n">
        <v>2024</v>
      </c>
      <c r="D290" t="inlineStr">
        <is>
          <t>Q1</t>
        </is>
      </c>
      <c r="E290" t="inlineStr">
        <is>
          <t>Jan</t>
        </is>
      </c>
      <c r="F290" t="inlineStr">
        <is>
          <t>East</t>
        </is>
      </c>
      <c r="G290" t="inlineStr">
        <is>
          <t>Mid-Market</t>
        </is>
      </c>
      <c r="H290" t="inlineStr">
        <is>
          <t>Direct</t>
        </is>
      </c>
      <c r="I290" t="inlineStr">
        <is>
          <t>Subscriptions</t>
        </is>
      </c>
      <c r="J290" t="inlineStr">
        <is>
          <t>Pro</t>
        </is>
      </c>
      <c r="K290" t="inlineStr">
        <is>
          <t>C. Mehta</t>
        </is>
      </c>
      <c r="L290" t="n">
        <v>36</v>
      </c>
      <c r="M290" s="3" t="n">
        <v>504.74</v>
      </c>
      <c r="N290" s="3">
        <f>L290*M290</f>
        <v/>
      </c>
      <c r="O290" s="3">
        <f>N290*0.326</f>
        <v/>
      </c>
      <c r="P290" s="3">
        <f>N290-O290</f>
        <v/>
      </c>
      <c r="Q290" s="4">
        <f>IF(N290=0,0,P290/N290)</f>
        <v/>
      </c>
    </row>
    <row r="291">
      <c r="A291" t="inlineStr">
        <is>
          <t>ORD-1289</t>
        </is>
      </c>
      <c r="B291" s="2" t="n">
        <v>45335</v>
      </c>
      <c r="C291" t="n">
        <v>2024</v>
      </c>
      <c r="D291" t="inlineStr">
        <is>
          <t>Q1</t>
        </is>
      </c>
      <c r="E291" t="inlineStr">
        <is>
          <t>Feb</t>
        </is>
      </c>
      <c r="F291" t="inlineStr">
        <is>
          <t>West</t>
        </is>
      </c>
      <c r="G291" t="inlineStr">
        <is>
          <t>SMB</t>
        </is>
      </c>
      <c r="H291" t="inlineStr">
        <is>
          <t>Direct</t>
        </is>
      </c>
      <c r="I291" t="inlineStr">
        <is>
          <t>Services</t>
        </is>
      </c>
      <c r="J291" t="inlineStr">
        <is>
          <t>Onboarding</t>
        </is>
      </c>
      <c r="K291" t="inlineStr">
        <is>
          <t>C. Mehta</t>
        </is>
      </c>
      <c r="L291" t="n">
        <v>37</v>
      </c>
      <c r="M291" s="3" t="n">
        <v>1446.43</v>
      </c>
      <c r="N291" s="3">
        <f>L291*M291</f>
        <v/>
      </c>
      <c r="O291" s="3">
        <f>N291*0.36</f>
        <v/>
      </c>
      <c r="P291" s="3">
        <f>N291-O291</f>
        <v/>
      </c>
      <c r="Q291" s="4">
        <f>IF(N291=0,0,P291/N291)</f>
        <v/>
      </c>
    </row>
    <row r="292">
      <c r="A292" t="inlineStr">
        <is>
          <t>ORD-1290</t>
        </is>
      </c>
      <c r="B292" s="2" t="n">
        <v>45544</v>
      </c>
      <c r="C292" t="n">
        <v>2024</v>
      </c>
      <c r="D292" t="inlineStr">
        <is>
          <t>Q3</t>
        </is>
      </c>
      <c r="E292" t="inlineStr">
        <is>
          <t>Sep</t>
        </is>
      </c>
      <c r="F292" t="inlineStr">
        <is>
          <t>West</t>
        </is>
      </c>
      <c r="G292" t="inlineStr">
        <is>
          <t>Mid-Market</t>
        </is>
      </c>
      <c r="H292" t="inlineStr">
        <is>
          <t>Partner</t>
        </is>
      </c>
      <c r="I292" t="inlineStr">
        <is>
          <t>Subscriptions</t>
        </is>
      </c>
      <c r="J292" t="inlineStr">
        <is>
          <t>Starter</t>
        </is>
      </c>
      <c r="K292" t="inlineStr">
        <is>
          <t>A. Rao</t>
        </is>
      </c>
      <c r="L292" t="n">
        <v>11</v>
      </c>
      <c r="M292" s="3" t="n">
        <v>1256.29</v>
      </c>
      <c r="N292" s="3">
        <f>L292*M292</f>
        <v/>
      </c>
      <c r="O292" s="3">
        <f>N292*0.342</f>
        <v/>
      </c>
      <c r="P292" s="3">
        <f>N292-O292</f>
        <v/>
      </c>
      <c r="Q292" s="4">
        <f>IF(N292=0,0,P292/N292)</f>
        <v/>
      </c>
    </row>
    <row r="293">
      <c r="A293" t="inlineStr">
        <is>
          <t>ORD-1291</t>
        </is>
      </c>
      <c r="B293" s="2" t="n">
        <v>45418</v>
      </c>
      <c r="C293" t="n">
        <v>2024</v>
      </c>
      <c r="D293" t="inlineStr">
        <is>
          <t>Q2</t>
        </is>
      </c>
      <c r="E293" t="inlineStr">
        <is>
          <t>May</t>
        </is>
      </c>
      <c r="F293" t="inlineStr">
        <is>
          <t>West</t>
        </is>
      </c>
      <c r="G293" t="inlineStr">
        <is>
          <t>SMB</t>
        </is>
      </c>
      <c r="H293" t="inlineStr">
        <is>
          <t>Direct</t>
        </is>
      </c>
      <c r="I293" t="inlineStr">
        <is>
          <t>Services</t>
        </is>
      </c>
      <c r="J293" t="inlineStr">
        <is>
          <t>Training</t>
        </is>
      </c>
      <c r="K293" t="inlineStr">
        <is>
          <t>C. Mehta</t>
        </is>
      </c>
      <c r="L293" t="n">
        <v>39</v>
      </c>
      <c r="M293" s="3" t="n">
        <v>1656.67</v>
      </c>
      <c r="N293" s="3">
        <f>L293*M293</f>
        <v/>
      </c>
      <c r="O293" s="3">
        <f>N293*0.448</f>
        <v/>
      </c>
      <c r="P293" s="3">
        <f>N293-O293</f>
        <v/>
      </c>
      <c r="Q293" s="4">
        <f>IF(N293=0,0,P293/N293)</f>
        <v/>
      </c>
    </row>
    <row r="294">
      <c r="A294" t="inlineStr">
        <is>
          <t>ORD-1292</t>
        </is>
      </c>
      <c r="B294" s="2" t="n">
        <v>45494</v>
      </c>
      <c r="C294" t="n">
        <v>2024</v>
      </c>
      <c r="D294" t="inlineStr">
        <is>
          <t>Q3</t>
        </is>
      </c>
      <c r="E294" t="inlineStr">
        <is>
          <t>Jul</t>
        </is>
      </c>
      <c r="F294" t="inlineStr">
        <is>
          <t>East</t>
        </is>
      </c>
      <c r="G294" t="inlineStr">
        <is>
          <t>Mid-Market</t>
        </is>
      </c>
      <c r="H294" t="inlineStr">
        <is>
          <t>Partner</t>
        </is>
      </c>
      <c r="I294" t="inlineStr">
        <is>
          <t>Add-ons</t>
        </is>
      </c>
      <c r="J294" t="inlineStr">
        <is>
          <t>Extra Seats</t>
        </is>
      </c>
      <c r="K294" t="inlineStr">
        <is>
          <t>D. Iyer</t>
        </is>
      </c>
      <c r="L294" t="n">
        <v>25</v>
      </c>
      <c r="M294" s="3" t="n">
        <v>2068.97</v>
      </c>
      <c r="N294" s="3">
        <f>L294*M294</f>
        <v/>
      </c>
      <c r="O294" s="3">
        <f>N294*0.205</f>
        <v/>
      </c>
      <c r="P294" s="3">
        <f>N294-O294</f>
        <v/>
      </c>
      <c r="Q294" s="4">
        <f>IF(N294=0,0,P294/N294)</f>
        <v/>
      </c>
    </row>
    <row r="295">
      <c r="A295" t="inlineStr">
        <is>
          <t>ORD-1293</t>
        </is>
      </c>
      <c r="B295" s="2" t="n">
        <v>45625</v>
      </c>
      <c r="C295" t="n">
        <v>2024</v>
      </c>
      <c r="D295" t="inlineStr">
        <is>
          <t>Q4</t>
        </is>
      </c>
      <c r="E295" t="inlineStr">
        <is>
          <t>Nov</t>
        </is>
      </c>
      <c r="F295" t="inlineStr">
        <is>
          <t>South</t>
        </is>
      </c>
      <c r="G295" t="inlineStr">
        <is>
          <t>Mid-Market</t>
        </is>
      </c>
      <c r="H295" t="inlineStr">
        <is>
          <t>Partner</t>
        </is>
      </c>
      <c r="I295" t="inlineStr">
        <is>
          <t>Services</t>
        </is>
      </c>
      <c r="J295" t="inlineStr">
        <is>
          <t>Onboarding</t>
        </is>
      </c>
      <c r="K295" t="inlineStr">
        <is>
          <t>B. Khan</t>
        </is>
      </c>
      <c r="L295" t="n">
        <v>20</v>
      </c>
      <c r="M295" s="3" t="n">
        <v>1005.46</v>
      </c>
      <c r="N295" s="3">
        <f>L295*M295</f>
        <v/>
      </c>
      <c r="O295" s="3">
        <f>N295*0.161</f>
        <v/>
      </c>
      <c r="P295" s="3">
        <f>N295-O295</f>
        <v/>
      </c>
      <c r="Q295" s="4">
        <f>IF(N295=0,0,P295/N295)</f>
        <v/>
      </c>
    </row>
    <row r="296">
      <c r="A296" t="inlineStr">
        <is>
          <t>ORD-1294</t>
        </is>
      </c>
      <c r="B296" s="2" t="n">
        <v>45455</v>
      </c>
      <c r="C296" t="n">
        <v>2024</v>
      </c>
      <c r="D296" t="inlineStr">
        <is>
          <t>Q2</t>
        </is>
      </c>
      <c r="E296" t="inlineStr">
        <is>
          <t>Jun</t>
        </is>
      </c>
      <c r="F296" t="inlineStr">
        <is>
          <t>South</t>
        </is>
      </c>
      <c r="G296" t="inlineStr">
        <is>
          <t>Mid-Market</t>
        </is>
      </c>
      <c r="H296" t="inlineStr">
        <is>
          <t>Partner</t>
        </is>
      </c>
      <c r="I296" t="inlineStr">
        <is>
          <t>Add-ons</t>
        </is>
      </c>
      <c r="J296" t="inlineStr">
        <is>
          <t>Extra Seats</t>
        </is>
      </c>
      <c r="K296" t="inlineStr">
        <is>
          <t>C. Mehta</t>
        </is>
      </c>
      <c r="L296" t="n">
        <v>45</v>
      </c>
      <c r="M296" s="3" t="n">
        <v>1692.39</v>
      </c>
      <c r="N296" s="3">
        <f>L296*M296</f>
        <v/>
      </c>
      <c r="O296" s="3">
        <f>N296*0.205</f>
        <v/>
      </c>
      <c r="P296" s="3">
        <f>N296-O296</f>
        <v/>
      </c>
      <c r="Q296" s="4">
        <f>IF(N296=0,0,P296/N296)</f>
        <v/>
      </c>
    </row>
    <row r="297">
      <c r="A297" t="inlineStr">
        <is>
          <t>ORD-1295</t>
        </is>
      </c>
      <c r="B297" s="2" t="n">
        <v>45493</v>
      </c>
      <c r="C297" t="n">
        <v>2024</v>
      </c>
      <c r="D297" t="inlineStr">
        <is>
          <t>Q3</t>
        </is>
      </c>
      <c r="E297" t="inlineStr">
        <is>
          <t>Jul</t>
        </is>
      </c>
      <c r="F297" t="inlineStr">
        <is>
          <t>South</t>
        </is>
      </c>
      <c r="G297" t="inlineStr">
        <is>
          <t>Enterprise</t>
        </is>
      </c>
      <c r="H297" t="inlineStr">
        <is>
          <t>Self-serve</t>
        </is>
      </c>
      <c r="I297" t="inlineStr">
        <is>
          <t>Add-ons</t>
        </is>
      </c>
      <c r="J297" t="inlineStr">
        <is>
          <t>Analytics</t>
        </is>
      </c>
      <c r="K297" t="inlineStr">
        <is>
          <t>A. Rao</t>
        </is>
      </c>
      <c r="L297" t="n">
        <v>37</v>
      </c>
      <c r="M297" s="3" t="n">
        <v>739.5599999999999</v>
      </c>
      <c r="N297" s="3">
        <f>L297*M297</f>
        <v/>
      </c>
      <c r="O297" s="3">
        <f>N297*0.164</f>
        <v/>
      </c>
      <c r="P297" s="3">
        <f>N297-O297</f>
        <v/>
      </c>
      <c r="Q297" s="4">
        <f>IF(N297=0,0,P297/N297)</f>
        <v/>
      </c>
    </row>
    <row r="298">
      <c r="A298" t="inlineStr">
        <is>
          <t>ORD-1296</t>
        </is>
      </c>
      <c r="B298" s="2" t="n">
        <v>45528</v>
      </c>
      <c r="C298" t="n">
        <v>2024</v>
      </c>
      <c r="D298" t="inlineStr">
        <is>
          <t>Q3</t>
        </is>
      </c>
      <c r="E298" t="inlineStr">
        <is>
          <t>Aug</t>
        </is>
      </c>
      <c r="F298" t="inlineStr">
        <is>
          <t>North</t>
        </is>
      </c>
      <c r="G298" t="inlineStr">
        <is>
          <t>Mid-Market</t>
        </is>
      </c>
      <c r="H298" t="inlineStr">
        <is>
          <t>Self-serve</t>
        </is>
      </c>
      <c r="I298" t="inlineStr">
        <is>
          <t>Services</t>
        </is>
      </c>
      <c r="J298" t="inlineStr">
        <is>
          <t>Onboarding</t>
        </is>
      </c>
      <c r="K298" t="inlineStr">
        <is>
          <t>D. Iyer</t>
        </is>
      </c>
      <c r="L298" t="n">
        <v>29</v>
      </c>
      <c r="M298" s="3" t="n">
        <v>2054.91</v>
      </c>
      <c r="N298" s="3">
        <f>L298*M298</f>
        <v/>
      </c>
      <c r="O298" s="3">
        <f>N298*0.408</f>
        <v/>
      </c>
      <c r="P298" s="3">
        <f>N298-O298</f>
        <v/>
      </c>
      <c r="Q298" s="4">
        <f>IF(N298=0,0,P298/N298)</f>
        <v/>
      </c>
    </row>
    <row r="299">
      <c r="A299" t="inlineStr">
        <is>
          <t>ORD-1297</t>
        </is>
      </c>
      <c r="B299" s="2" t="n">
        <v>45447</v>
      </c>
      <c r="C299" t="n">
        <v>2024</v>
      </c>
      <c r="D299" t="inlineStr">
        <is>
          <t>Q2</t>
        </is>
      </c>
      <c r="E299" t="inlineStr">
        <is>
          <t>Jun</t>
        </is>
      </c>
      <c r="F299" t="inlineStr">
        <is>
          <t>West</t>
        </is>
      </c>
      <c r="G299" t="inlineStr">
        <is>
          <t>Mid-Market</t>
        </is>
      </c>
      <c r="H299" t="inlineStr">
        <is>
          <t>Direct</t>
        </is>
      </c>
      <c r="I299" t="inlineStr">
        <is>
          <t>Subscriptions</t>
        </is>
      </c>
      <c r="J299" t="inlineStr">
        <is>
          <t>Pro</t>
        </is>
      </c>
      <c r="K299" t="inlineStr">
        <is>
          <t>D. Iyer</t>
        </is>
      </c>
      <c r="L299" t="n">
        <v>43</v>
      </c>
      <c r="M299" s="3" t="n">
        <v>639.12</v>
      </c>
      <c r="N299" s="3">
        <f>L299*M299</f>
        <v/>
      </c>
      <c r="O299" s="3">
        <f>N299*0.153</f>
        <v/>
      </c>
      <c r="P299" s="3">
        <f>N299-O299</f>
        <v/>
      </c>
      <c r="Q299" s="4">
        <f>IF(N299=0,0,P299/N299)</f>
        <v/>
      </c>
    </row>
    <row r="300">
      <c r="A300" t="inlineStr">
        <is>
          <t>ORD-1298</t>
        </is>
      </c>
      <c r="B300" s="2" t="n">
        <v>45537</v>
      </c>
      <c r="C300" t="n">
        <v>2024</v>
      </c>
      <c r="D300" t="inlineStr">
        <is>
          <t>Q3</t>
        </is>
      </c>
      <c r="E300" t="inlineStr">
        <is>
          <t>Sep</t>
        </is>
      </c>
      <c r="F300" t="inlineStr">
        <is>
          <t>West</t>
        </is>
      </c>
      <c r="G300" t="inlineStr">
        <is>
          <t>Enterprise</t>
        </is>
      </c>
      <c r="H300" t="inlineStr">
        <is>
          <t>Direct</t>
        </is>
      </c>
      <c r="I300" t="inlineStr">
        <is>
          <t>Services</t>
        </is>
      </c>
      <c r="J300" t="inlineStr">
        <is>
          <t>Training</t>
        </is>
      </c>
      <c r="K300" t="inlineStr">
        <is>
          <t>C. Mehta</t>
        </is>
      </c>
      <c r="L300" t="n">
        <v>35</v>
      </c>
      <c r="M300" s="3" t="n">
        <v>1414.55</v>
      </c>
      <c r="N300" s="3">
        <f>L300*M300</f>
        <v/>
      </c>
      <c r="O300" s="3">
        <f>N300*0.24</f>
        <v/>
      </c>
      <c r="P300" s="3">
        <f>N300-O300</f>
        <v/>
      </c>
      <c r="Q300" s="4">
        <f>IF(N300=0,0,P300/N300)</f>
        <v/>
      </c>
    </row>
    <row r="301">
      <c r="A301" t="inlineStr">
        <is>
          <t>ORD-1299</t>
        </is>
      </c>
      <c r="B301" s="2" t="n">
        <v>45566</v>
      </c>
      <c r="C301" t="n">
        <v>2024</v>
      </c>
      <c r="D301" t="inlineStr">
        <is>
          <t>Q4</t>
        </is>
      </c>
      <c r="E301" t="inlineStr">
        <is>
          <t>Oct</t>
        </is>
      </c>
      <c r="F301" t="inlineStr">
        <is>
          <t>East</t>
        </is>
      </c>
      <c r="G301" t="inlineStr">
        <is>
          <t>SMB</t>
        </is>
      </c>
      <c r="H301" t="inlineStr">
        <is>
          <t>Self-serve</t>
        </is>
      </c>
      <c r="I301" t="inlineStr">
        <is>
          <t>Services</t>
        </is>
      </c>
      <c r="J301" t="inlineStr">
        <is>
          <t>Onboarding</t>
        </is>
      </c>
      <c r="K301" t="inlineStr">
        <is>
          <t>E. Nair</t>
        </is>
      </c>
      <c r="L301" t="n">
        <v>7</v>
      </c>
      <c r="M301" s="3" t="n">
        <v>1991.7</v>
      </c>
      <c r="N301" s="3">
        <f>L301*M301</f>
        <v/>
      </c>
      <c r="O301" s="3">
        <f>N301*0.437</f>
        <v/>
      </c>
      <c r="P301" s="3">
        <f>N301-O301</f>
        <v/>
      </c>
      <c r="Q301" s="4">
        <f>IF(N301=0,0,P301/N301)</f>
        <v/>
      </c>
    </row>
    <row r="302">
      <c r="A302" t="inlineStr">
        <is>
          <t>ORD-1300</t>
        </is>
      </c>
      <c r="B302" s="2" t="n">
        <v>45622</v>
      </c>
      <c r="C302" t="n">
        <v>2024</v>
      </c>
      <c r="D302" t="inlineStr">
        <is>
          <t>Q4</t>
        </is>
      </c>
      <c r="E302" t="inlineStr">
        <is>
          <t>Nov</t>
        </is>
      </c>
      <c r="F302" t="inlineStr">
        <is>
          <t>West</t>
        </is>
      </c>
      <c r="G302" t="inlineStr">
        <is>
          <t>SMB</t>
        </is>
      </c>
      <c r="H302" t="inlineStr">
        <is>
          <t>Direct</t>
        </is>
      </c>
      <c r="I302" t="inlineStr">
        <is>
          <t>Services</t>
        </is>
      </c>
      <c r="J302" t="inlineStr">
        <is>
          <t>Training</t>
        </is>
      </c>
      <c r="K302" t="inlineStr">
        <is>
          <t>A. Rao</t>
        </is>
      </c>
      <c r="L302" t="n">
        <v>49</v>
      </c>
      <c r="M302" s="3" t="n">
        <v>1029.51</v>
      </c>
      <c r="N302" s="3">
        <f>L302*M302</f>
        <v/>
      </c>
      <c r="O302" s="3">
        <f>N302*0.372</f>
        <v/>
      </c>
      <c r="P302" s="3">
        <f>N302-O302</f>
        <v/>
      </c>
      <c r="Q302" s="4">
        <f>IF(N302=0,0,P302/N302)</f>
        <v/>
      </c>
    </row>
    <row r="303">
      <c r="A303" t="inlineStr">
        <is>
          <t>ORD-1301</t>
        </is>
      </c>
      <c r="B303" s="2" t="n">
        <v>45553</v>
      </c>
      <c r="C303" t="n">
        <v>2024</v>
      </c>
      <c r="D303" t="inlineStr">
        <is>
          <t>Q3</t>
        </is>
      </c>
      <c r="E303" t="inlineStr">
        <is>
          <t>Sep</t>
        </is>
      </c>
      <c r="F303" t="inlineStr">
        <is>
          <t>West</t>
        </is>
      </c>
      <c r="G303" t="inlineStr">
        <is>
          <t>Enterprise</t>
        </is>
      </c>
      <c r="H303" t="inlineStr">
        <is>
          <t>Self-serve</t>
        </is>
      </c>
      <c r="I303" t="inlineStr">
        <is>
          <t>Services</t>
        </is>
      </c>
      <c r="J303" t="inlineStr">
        <is>
          <t>Onboarding</t>
        </is>
      </c>
      <c r="K303" t="inlineStr">
        <is>
          <t>F. Shah</t>
        </is>
      </c>
      <c r="L303" t="n">
        <v>29</v>
      </c>
      <c r="M303" s="3" t="n">
        <v>1123.06</v>
      </c>
      <c r="N303" s="3">
        <f>L303*M303</f>
        <v/>
      </c>
      <c r="O303" s="3">
        <f>N303*0.3</f>
        <v/>
      </c>
      <c r="P303" s="3">
        <f>N303-O303</f>
        <v/>
      </c>
      <c r="Q303" s="4">
        <f>IF(N303=0,0,P303/N303)</f>
        <v/>
      </c>
    </row>
    <row r="304">
      <c r="A304" t="inlineStr">
        <is>
          <t>ORD-1302</t>
        </is>
      </c>
      <c r="B304" s="2" t="n">
        <v>45468</v>
      </c>
      <c r="C304" t="n">
        <v>2024</v>
      </c>
      <c r="D304" t="inlineStr">
        <is>
          <t>Q2</t>
        </is>
      </c>
      <c r="E304" t="inlineStr">
        <is>
          <t>Jun</t>
        </is>
      </c>
      <c r="F304" t="inlineStr">
        <is>
          <t>North</t>
        </is>
      </c>
      <c r="G304" t="inlineStr">
        <is>
          <t>SMB</t>
        </is>
      </c>
      <c r="H304" t="inlineStr">
        <is>
          <t>Self-serve</t>
        </is>
      </c>
      <c r="I304" t="inlineStr">
        <is>
          <t>Subscriptions</t>
        </is>
      </c>
      <c r="J304" t="inlineStr">
        <is>
          <t>Pro</t>
        </is>
      </c>
      <c r="K304" t="inlineStr">
        <is>
          <t>B. Khan</t>
        </is>
      </c>
      <c r="L304" t="n">
        <v>7</v>
      </c>
      <c r="M304" s="3" t="n">
        <v>949.95</v>
      </c>
      <c r="N304" s="3">
        <f>L304*M304</f>
        <v/>
      </c>
      <c r="O304" s="3">
        <f>N304*0.346</f>
        <v/>
      </c>
      <c r="P304" s="3">
        <f>N304-O304</f>
        <v/>
      </c>
      <c r="Q304" s="4">
        <f>IF(N304=0,0,P304/N304)</f>
        <v/>
      </c>
    </row>
    <row r="305">
      <c r="A305" t="inlineStr">
        <is>
          <t>ORD-1303</t>
        </is>
      </c>
      <c r="B305" s="2" t="n">
        <v>45467</v>
      </c>
      <c r="C305" t="n">
        <v>2024</v>
      </c>
      <c r="D305" t="inlineStr">
        <is>
          <t>Q2</t>
        </is>
      </c>
      <c r="E305" t="inlineStr">
        <is>
          <t>Jun</t>
        </is>
      </c>
      <c r="F305" t="inlineStr">
        <is>
          <t>West</t>
        </is>
      </c>
      <c r="G305" t="inlineStr">
        <is>
          <t>SMB</t>
        </is>
      </c>
      <c r="H305" t="inlineStr">
        <is>
          <t>Partner</t>
        </is>
      </c>
      <c r="I305" t="inlineStr">
        <is>
          <t>Add-ons</t>
        </is>
      </c>
      <c r="J305" t="inlineStr">
        <is>
          <t>Analytics</t>
        </is>
      </c>
      <c r="K305" t="inlineStr">
        <is>
          <t>F. Shah</t>
        </is>
      </c>
      <c r="L305" t="n">
        <v>34</v>
      </c>
      <c r="M305" s="3" t="n">
        <v>1362.44</v>
      </c>
      <c r="N305" s="3">
        <f>L305*M305</f>
        <v/>
      </c>
      <c r="O305" s="3">
        <f>N305*0.241</f>
        <v/>
      </c>
      <c r="P305" s="3">
        <f>N305-O305</f>
        <v/>
      </c>
      <c r="Q305" s="4">
        <f>IF(N305=0,0,P305/N305)</f>
        <v/>
      </c>
    </row>
    <row r="306">
      <c r="A306" t="inlineStr">
        <is>
          <t>ORD-1304</t>
        </is>
      </c>
      <c r="B306" s="2" t="n">
        <v>45455</v>
      </c>
      <c r="C306" t="n">
        <v>2024</v>
      </c>
      <c r="D306" t="inlineStr">
        <is>
          <t>Q2</t>
        </is>
      </c>
      <c r="E306" t="inlineStr">
        <is>
          <t>Jun</t>
        </is>
      </c>
      <c r="F306" t="inlineStr">
        <is>
          <t>North</t>
        </is>
      </c>
      <c r="G306" t="inlineStr">
        <is>
          <t>SMB</t>
        </is>
      </c>
      <c r="H306" t="inlineStr">
        <is>
          <t>Partner</t>
        </is>
      </c>
      <c r="I306" t="inlineStr">
        <is>
          <t>Subscriptions</t>
        </is>
      </c>
      <c r="J306" t="inlineStr">
        <is>
          <t>Pro</t>
        </is>
      </c>
      <c r="K306" t="inlineStr">
        <is>
          <t>F. Shah</t>
        </is>
      </c>
      <c r="L306" t="n">
        <v>3</v>
      </c>
      <c r="M306" s="3" t="n">
        <v>2082.41</v>
      </c>
      <c r="N306" s="3">
        <f>L306*M306</f>
        <v/>
      </c>
      <c r="O306" s="3">
        <f>N306*0.417</f>
        <v/>
      </c>
      <c r="P306" s="3">
        <f>N306-O306</f>
        <v/>
      </c>
      <c r="Q306" s="4">
        <f>IF(N306=0,0,P306/N306)</f>
        <v/>
      </c>
    </row>
    <row r="307">
      <c r="A307" t="inlineStr">
        <is>
          <t>ORD-1305</t>
        </is>
      </c>
      <c r="B307" s="2" t="n">
        <v>45376</v>
      </c>
      <c r="C307" t="n">
        <v>2024</v>
      </c>
      <c r="D307" t="inlineStr">
        <is>
          <t>Q1</t>
        </is>
      </c>
      <c r="E307" t="inlineStr">
        <is>
          <t>Mar</t>
        </is>
      </c>
      <c r="F307" t="inlineStr">
        <is>
          <t>South</t>
        </is>
      </c>
      <c r="G307" t="inlineStr">
        <is>
          <t>Mid-Market</t>
        </is>
      </c>
      <c r="H307" t="inlineStr">
        <is>
          <t>Self-serve</t>
        </is>
      </c>
      <c r="I307" t="inlineStr">
        <is>
          <t>Services</t>
        </is>
      </c>
      <c r="J307" t="inlineStr">
        <is>
          <t>Onboarding</t>
        </is>
      </c>
      <c r="K307" t="inlineStr">
        <is>
          <t>D. Iyer</t>
        </is>
      </c>
      <c r="L307" t="n">
        <v>34</v>
      </c>
      <c r="M307" s="3" t="n">
        <v>683.8</v>
      </c>
      <c r="N307" s="3">
        <f>L307*M307</f>
        <v/>
      </c>
      <c r="O307" s="3">
        <f>N307*0.162</f>
        <v/>
      </c>
      <c r="P307" s="3">
        <f>N307-O307</f>
        <v/>
      </c>
      <c r="Q307" s="4">
        <f>IF(N307=0,0,P307/N307)</f>
        <v/>
      </c>
    </row>
    <row r="308">
      <c r="A308" t="inlineStr">
        <is>
          <t>ORD-1306</t>
        </is>
      </c>
      <c r="B308" s="2" t="n">
        <v>45410</v>
      </c>
      <c r="C308" t="n">
        <v>2024</v>
      </c>
      <c r="D308" t="inlineStr">
        <is>
          <t>Q2</t>
        </is>
      </c>
      <c r="E308" t="inlineStr">
        <is>
          <t>Apr</t>
        </is>
      </c>
      <c r="F308" t="inlineStr">
        <is>
          <t>West</t>
        </is>
      </c>
      <c r="G308" t="inlineStr">
        <is>
          <t>Mid-Market</t>
        </is>
      </c>
      <c r="H308" t="inlineStr">
        <is>
          <t>Direct</t>
        </is>
      </c>
      <c r="I308" t="inlineStr">
        <is>
          <t>Add-ons</t>
        </is>
      </c>
      <c r="J308" t="inlineStr">
        <is>
          <t>Extra Seats</t>
        </is>
      </c>
      <c r="K308" t="inlineStr">
        <is>
          <t>F. Shah</t>
        </is>
      </c>
      <c r="L308" t="n">
        <v>12</v>
      </c>
      <c r="M308" s="3" t="n">
        <v>710.05</v>
      </c>
      <c r="N308" s="3">
        <f>L308*M308</f>
        <v/>
      </c>
      <c r="O308" s="3">
        <f>N308*0.266</f>
        <v/>
      </c>
      <c r="P308" s="3">
        <f>N308-O308</f>
        <v/>
      </c>
      <c r="Q308" s="4">
        <f>IF(N308=0,0,P308/N308)</f>
        <v/>
      </c>
    </row>
    <row r="309">
      <c r="A309" t="inlineStr">
        <is>
          <t>ORD-1307</t>
        </is>
      </c>
      <c r="B309" s="2" t="n">
        <v>45393</v>
      </c>
      <c r="C309" t="n">
        <v>2024</v>
      </c>
      <c r="D309" t="inlineStr">
        <is>
          <t>Q2</t>
        </is>
      </c>
      <c r="E309" t="inlineStr">
        <is>
          <t>Apr</t>
        </is>
      </c>
      <c r="F309" t="inlineStr">
        <is>
          <t>South</t>
        </is>
      </c>
      <c r="G309" t="inlineStr">
        <is>
          <t>SMB</t>
        </is>
      </c>
      <c r="H309" t="inlineStr">
        <is>
          <t>Partner</t>
        </is>
      </c>
      <c r="I309" t="inlineStr">
        <is>
          <t>Add-ons</t>
        </is>
      </c>
      <c r="J309" t="inlineStr">
        <is>
          <t>Extra Seats</t>
        </is>
      </c>
      <c r="K309" t="inlineStr">
        <is>
          <t>F. Shah</t>
        </is>
      </c>
      <c r="L309" t="n">
        <v>28</v>
      </c>
      <c r="M309" s="3" t="n">
        <v>1155.44</v>
      </c>
      <c r="N309" s="3">
        <f>L309*M309</f>
        <v/>
      </c>
      <c r="O309" s="3">
        <f>N309*0.207</f>
        <v/>
      </c>
      <c r="P309" s="3">
        <f>N309-O309</f>
        <v/>
      </c>
      <c r="Q309" s="4">
        <f>IF(N309=0,0,P309/N309)</f>
        <v/>
      </c>
    </row>
    <row r="310">
      <c r="A310" t="inlineStr">
        <is>
          <t>ORD-1308</t>
        </is>
      </c>
      <c r="B310" s="2" t="n">
        <v>45324</v>
      </c>
      <c r="C310" t="n">
        <v>2024</v>
      </c>
      <c r="D310" t="inlineStr">
        <is>
          <t>Q1</t>
        </is>
      </c>
      <c r="E310" t="inlineStr">
        <is>
          <t>Feb</t>
        </is>
      </c>
      <c r="F310" t="inlineStr">
        <is>
          <t>East</t>
        </is>
      </c>
      <c r="G310" t="inlineStr">
        <is>
          <t>SMB</t>
        </is>
      </c>
      <c r="H310" t="inlineStr">
        <is>
          <t>Partner</t>
        </is>
      </c>
      <c r="I310" t="inlineStr">
        <is>
          <t>Services</t>
        </is>
      </c>
      <c r="J310" t="inlineStr">
        <is>
          <t>Onboarding</t>
        </is>
      </c>
      <c r="K310" t="inlineStr">
        <is>
          <t>A. Rao</t>
        </is>
      </c>
      <c r="L310" t="n">
        <v>35</v>
      </c>
      <c r="M310" s="3" t="n">
        <v>711.3099999999999</v>
      </c>
      <c r="N310" s="3">
        <f>L310*M310</f>
        <v/>
      </c>
      <c r="O310" s="3">
        <f>N310*0.371</f>
        <v/>
      </c>
      <c r="P310" s="3">
        <f>N310-O310</f>
        <v/>
      </c>
      <c r="Q310" s="4">
        <f>IF(N310=0,0,P310/N310)</f>
        <v/>
      </c>
    </row>
    <row r="311">
      <c r="A311" t="inlineStr">
        <is>
          <t>ORD-1309</t>
        </is>
      </c>
      <c r="B311" s="2" t="n">
        <v>45542</v>
      </c>
      <c r="C311" t="n">
        <v>2024</v>
      </c>
      <c r="D311" t="inlineStr">
        <is>
          <t>Q3</t>
        </is>
      </c>
      <c r="E311" t="inlineStr">
        <is>
          <t>Sep</t>
        </is>
      </c>
      <c r="F311" t="inlineStr">
        <is>
          <t>West</t>
        </is>
      </c>
      <c r="G311" t="inlineStr">
        <is>
          <t>Enterprise</t>
        </is>
      </c>
      <c r="H311" t="inlineStr">
        <is>
          <t>Direct</t>
        </is>
      </c>
      <c r="I311" t="inlineStr">
        <is>
          <t>Services</t>
        </is>
      </c>
      <c r="J311" t="inlineStr">
        <is>
          <t>Training</t>
        </is>
      </c>
      <c r="K311" t="inlineStr">
        <is>
          <t>C. Mehta</t>
        </is>
      </c>
      <c r="L311" t="n">
        <v>39</v>
      </c>
      <c r="M311" s="3" t="n">
        <v>1155.01</v>
      </c>
      <c r="N311" s="3">
        <f>L311*M311</f>
        <v/>
      </c>
      <c r="O311" s="3">
        <f>N311*0.344</f>
        <v/>
      </c>
      <c r="P311" s="3">
        <f>N311-O311</f>
        <v/>
      </c>
      <c r="Q311" s="4">
        <f>IF(N311=0,0,P311/N311)</f>
        <v/>
      </c>
    </row>
    <row r="312">
      <c r="A312" t="inlineStr">
        <is>
          <t>ORD-1310</t>
        </is>
      </c>
      <c r="B312" s="2" t="n">
        <v>45526</v>
      </c>
      <c r="C312" t="n">
        <v>2024</v>
      </c>
      <c r="D312" t="inlineStr">
        <is>
          <t>Q3</t>
        </is>
      </c>
      <c r="E312" t="inlineStr">
        <is>
          <t>Aug</t>
        </is>
      </c>
      <c r="F312" t="inlineStr">
        <is>
          <t>East</t>
        </is>
      </c>
      <c r="G312" t="inlineStr">
        <is>
          <t>Enterprise</t>
        </is>
      </c>
      <c r="H312" t="inlineStr">
        <is>
          <t>Self-serve</t>
        </is>
      </c>
      <c r="I312" t="inlineStr">
        <is>
          <t>Services</t>
        </is>
      </c>
      <c r="J312" t="inlineStr">
        <is>
          <t>Onboarding</t>
        </is>
      </c>
      <c r="K312" t="inlineStr">
        <is>
          <t>A. Rao</t>
        </is>
      </c>
      <c r="L312" t="n">
        <v>44</v>
      </c>
      <c r="M312" s="3" t="n">
        <v>1853.17</v>
      </c>
      <c r="N312" s="3">
        <f>L312*M312</f>
        <v/>
      </c>
      <c r="O312" s="3">
        <f>N312*0.248</f>
        <v/>
      </c>
      <c r="P312" s="3">
        <f>N312-O312</f>
        <v/>
      </c>
      <c r="Q312" s="4">
        <f>IF(N312=0,0,P312/N312)</f>
        <v/>
      </c>
    </row>
    <row r="313">
      <c r="A313" t="inlineStr">
        <is>
          <t>ORD-1311</t>
        </is>
      </c>
      <c r="B313" s="2" t="n">
        <v>45452</v>
      </c>
      <c r="C313" t="n">
        <v>2024</v>
      </c>
      <c r="D313" t="inlineStr">
        <is>
          <t>Q2</t>
        </is>
      </c>
      <c r="E313" t="inlineStr">
        <is>
          <t>Jun</t>
        </is>
      </c>
      <c r="F313" t="inlineStr">
        <is>
          <t>East</t>
        </is>
      </c>
      <c r="G313" t="inlineStr">
        <is>
          <t>Enterprise</t>
        </is>
      </c>
      <c r="H313" t="inlineStr">
        <is>
          <t>Direct</t>
        </is>
      </c>
      <c r="I313" t="inlineStr">
        <is>
          <t>Subscriptions</t>
        </is>
      </c>
      <c r="J313" t="inlineStr">
        <is>
          <t>Starter</t>
        </is>
      </c>
      <c r="K313" t="inlineStr">
        <is>
          <t>E. Nair</t>
        </is>
      </c>
      <c r="L313" t="n">
        <v>20</v>
      </c>
      <c r="M313" s="3" t="n">
        <v>557.29</v>
      </c>
      <c r="N313" s="3">
        <f>L313*M313</f>
        <v/>
      </c>
      <c r="O313" s="3">
        <f>N313*0.333</f>
        <v/>
      </c>
      <c r="P313" s="3">
        <f>N313-O313</f>
        <v/>
      </c>
      <c r="Q313" s="4">
        <f>IF(N313=0,0,P313/N313)</f>
        <v/>
      </c>
    </row>
    <row r="314">
      <c r="A314" t="inlineStr">
        <is>
          <t>ORD-1312</t>
        </is>
      </c>
      <c r="B314" s="2" t="n">
        <v>45597</v>
      </c>
      <c r="C314" t="n">
        <v>2024</v>
      </c>
      <c r="D314" t="inlineStr">
        <is>
          <t>Q4</t>
        </is>
      </c>
      <c r="E314" t="inlineStr">
        <is>
          <t>Nov</t>
        </is>
      </c>
      <c r="F314" t="inlineStr">
        <is>
          <t>West</t>
        </is>
      </c>
      <c r="G314" t="inlineStr">
        <is>
          <t>Enterprise</t>
        </is>
      </c>
      <c r="H314" t="inlineStr">
        <is>
          <t>Self-serve</t>
        </is>
      </c>
      <c r="I314" t="inlineStr">
        <is>
          <t>Subscriptions</t>
        </is>
      </c>
      <c r="J314" t="inlineStr">
        <is>
          <t>Enterprise</t>
        </is>
      </c>
      <c r="K314" t="inlineStr">
        <is>
          <t>F. Shah</t>
        </is>
      </c>
      <c r="L314" t="n">
        <v>25</v>
      </c>
      <c r="M314" s="3" t="n">
        <v>1230.69</v>
      </c>
      <c r="N314" s="3">
        <f>L314*M314</f>
        <v/>
      </c>
      <c r="O314" s="3">
        <f>N314*0.174</f>
        <v/>
      </c>
      <c r="P314" s="3">
        <f>N314-O314</f>
        <v/>
      </c>
      <c r="Q314" s="4">
        <f>IF(N314=0,0,P314/N314)</f>
        <v/>
      </c>
    </row>
    <row r="315">
      <c r="A315" t="inlineStr">
        <is>
          <t>ORD-1313</t>
        </is>
      </c>
      <c r="B315" s="2" t="n">
        <v>45380</v>
      </c>
      <c r="C315" t="n">
        <v>2024</v>
      </c>
      <c r="D315" t="inlineStr">
        <is>
          <t>Q1</t>
        </is>
      </c>
      <c r="E315" t="inlineStr">
        <is>
          <t>Mar</t>
        </is>
      </c>
      <c r="F315" t="inlineStr">
        <is>
          <t>South</t>
        </is>
      </c>
      <c r="G315" t="inlineStr">
        <is>
          <t>Mid-Market</t>
        </is>
      </c>
      <c r="H315" t="inlineStr">
        <is>
          <t>Partner</t>
        </is>
      </c>
      <c r="I315" t="inlineStr">
        <is>
          <t>Services</t>
        </is>
      </c>
      <c r="J315" t="inlineStr">
        <is>
          <t>Onboarding</t>
        </is>
      </c>
      <c r="K315" t="inlineStr">
        <is>
          <t>E. Nair</t>
        </is>
      </c>
      <c r="L315" t="n">
        <v>32</v>
      </c>
      <c r="M315" s="3" t="n">
        <v>935.4400000000001</v>
      </c>
      <c r="N315" s="3">
        <f>L315*M315</f>
        <v/>
      </c>
      <c r="O315" s="3">
        <f>N315*0.434</f>
        <v/>
      </c>
      <c r="P315" s="3">
        <f>N315-O315</f>
        <v/>
      </c>
      <c r="Q315" s="4">
        <f>IF(N315=0,0,P315/N315)</f>
        <v/>
      </c>
    </row>
    <row r="316">
      <c r="A316" t="inlineStr">
        <is>
          <t>ORD-1314</t>
        </is>
      </c>
      <c r="B316" s="2" t="n">
        <v>45475</v>
      </c>
      <c r="C316" t="n">
        <v>2024</v>
      </c>
      <c r="D316" t="inlineStr">
        <is>
          <t>Q3</t>
        </is>
      </c>
      <c r="E316" t="inlineStr">
        <is>
          <t>Jul</t>
        </is>
      </c>
      <c r="F316" t="inlineStr">
        <is>
          <t>West</t>
        </is>
      </c>
      <c r="G316" t="inlineStr">
        <is>
          <t>Enterprise</t>
        </is>
      </c>
      <c r="H316" t="inlineStr">
        <is>
          <t>Self-serve</t>
        </is>
      </c>
      <c r="I316" t="inlineStr">
        <is>
          <t>Subscriptions</t>
        </is>
      </c>
      <c r="J316" t="inlineStr">
        <is>
          <t>Pro</t>
        </is>
      </c>
      <c r="K316" t="inlineStr">
        <is>
          <t>F. Shah</t>
        </is>
      </c>
      <c r="L316" t="n">
        <v>9</v>
      </c>
      <c r="M316" s="3" t="n">
        <v>729.28</v>
      </c>
      <c r="N316" s="3">
        <f>L316*M316</f>
        <v/>
      </c>
      <c r="O316" s="3">
        <f>N316*0.302</f>
        <v/>
      </c>
      <c r="P316" s="3">
        <f>N316-O316</f>
        <v/>
      </c>
      <c r="Q316" s="4">
        <f>IF(N316=0,0,P316/N316)</f>
        <v/>
      </c>
    </row>
    <row r="317">
      <c r="A317" t="inlineStr">
        <is>
          <t>ORD-1315</t>
        </is>
      </c>
      <c r="B317" s="2" t="n">
        <v>45642</v>
      </c>
      <c r="C317" t="n">
        <v>2024</v>
      </c>
      <c r="D317" t="inlineStr">
        <is>
          <t>Q4</t>
        </is>
      </c>
      <c r="E317" t="inlineStr">
        <is>
          <t>Dec</t>
        </is>
      </c>
      <c r="F317" t="inlineStr">
        <is>
          <t>West</t>
        </is>
      </c>
      <c r="G317" t="inlineStr">
        <is>
          <t>SMB</t>
        </is>
      </c>
      <c r="H317" t="inlineStr">
        <is>
          <t>Direct</t>
        </is>
      </c>
      <c r="I317" t="inlineStr">
        <is>
          <t>Add-ons</t>
        </is>
      </c>
      <c r="J317" t="inlineStr">
        <is>
          <t>Support Plus</t>
        </is>
      </c>
      <c r="K317" t="inlineStr">
        <is>
          <t>E. Nair</t>
        </is>
      </c>
      <c r="L317" t="n">
        <v>46</v>
      </c>
      <c r="M317" s="3" t="n">
        <v>2147.76</v>
      </c>
      <c r="N317" s="3">
        <f>L317*M317</f>
        <v/>
      </c>
      <c r="O317" s="3">
        <f>N317*0.441</f>
        <v/>
      </c>
      <c r="P317" s="3">
        <f>N317-O317</f>
        <v/>
      </c>
      <c r="Q317" s="4">
        <f>IF(N317=0,0,P317/N317)</f>
        <v/>
      </c>
    </row>
    <row r="318">
      <c r="A318" t="inlineStr">
        <is>
          <t>ORD-1316</t>
        </is>
      </c>
      <c r="B318" s="2" t="n">
        <v>45404</v>
      </c>
      <c r="C318" t="n">
        <v>2024</v>
      </c>
      <c r="D318" t="inlineStr">
        <is>
          <t>Q2</t>
        </is>
      </c>
      <c r="E318" t="inlineStr">
        <is>
          <t>Apr</t>
        </is>
      </c>
      <c r="F318" t="inlineStr">
        <is>
          <t>East</t>
        </is>
      </c>
      <c r="G318" t="inlineStr">
        <is>
          <t>SMB</t>
        </is>
      </c>
      <c r="H318" t="inlineStr">
        <is>
          <t>Partner</t>
        </is>
      </c>
      <c r="I318" t="inlineStr">
        <is>
          <t>Add-ons</t>
        </is>
      </c>
      <c r="J318" t="inlineStr">
        <is>
          <t>Analytics</t>
        </is>
      </c>
      <c r="K318" t="inlineStr">
        <is>
          <t>E. Nair</t>
        </is>
      </c>
      <c r="L318" t="n">
        <v>18</v>
      </c>
      <c r="M318" s="3" t="n">
        <v>794.66</v>
      </c>
      <c r="N318" s="3">
        <f>L318*M318</f>
        <v/>
      </c>
      <c r="O318" s="3">
        <f>N318*0.227</f>
        <v/>
      </c>
      <c r="P318" s="3">
        <f>N318-O318</f>
        <v/>
      </c>
      <c r="Q318" s="4">
        <f>IF(N318=0,0,P318/N318)</f>
        <v/>
      </c>
    </row>
    <row r="319">
      <c r="A319" t="inlineStr">
        <is>
          <t>ORD-1317</t>
        </is>
      </c>
      <c r="B319" s="2" t="n">
        <v>45545</v>
      </c>
      <c r="C319" t="n">
        <v>2024</v>
      </c>
      <c r="D319" t="inlineStr">
        <is>
          <t>Q3</t>
        </is>
      </c>
      <c r="E319" t="inlineStr">
        <is>
          <t>Sep</t>
        </is>
      </c>
      <c r="F319" t="inlineStr">
        <is>
          <t>East</t>
        </is>
      </c>
      <c r="G319" t="inlineStr">
        <is>
          <t>Enterprise</t>
        </is>
      </c>
      <c r="H319" t="inlineStr">
        <is>
          <t>Direct</t>
        </is>
      </c>
      <c r="I319" t="inlineStr">
        <is>
          <t>Services</t>
        </is>
      </c>
      <c r="J319" t="inlineStr">
        <is>
          <t>Onboarding</t>
        </is>
      </c>
      <c r="K319" t="inlineStr">
        <is>
          <t>F. Shah</t>
        </is>
      </c>
      <c r="L319" t="n">
        <v>37</v>
      </c>
      <c r="M319" s="3" t="n">
        <v>551.25</v>
      </c>
      <c r="N319" s="3">
        <f>L319*M319</f>
        <v/>
      </c>
      <c r="O319" s="3">
        <f>N319*0.318</f>
        <v/>
      </c>
      <c r="P319" s="3">
        <f>N319-O319</f>
        <v/>
      </c>
      <c r="Q319" s="4">
        <f>IF(N319=0,0,P319/N319)</f>
        <v/>
      </c>
    </row>
    <row r="320">
      <c r="A320" t="inlineStr">
        <is>
          <t>ORD-1318</t>
        </is>
      </c>
      <c r="B320" s="2" t="n">
        <v>45403</v>
      </c>
      <c r="C320" t="n">
        <v>2024</v>
      </c>
      <c r="D320" t="inlineStr">
        <is>
          <t>Q2</t>
        </is>
      </c>
      <c r="E320" t="inlineStr">
        <is>
          <t>Apr</t>
        </is>
      </c>
      <c r="F320" t="inlineStr">
        <is>
          <t>South</t>
        </is>
      </c>
      <c r="G320" t="inlineStr">
        <is>
          <t>Mid-Market</t>
        </is>
      </c>
      <c r="H320" t="inlineStr">
        <is>
          <t>Direct</t>
        </is>
      </c>
      <c r="I320" t="inlineStr">
        <is>
          <t>Add-ons</t>
        </is>
      </c>
      <c r="J320" t="inlineStr">
        <is>
          <t>Analytics</t>
        </is>
      </c>
      <c r="K320" t="inlineStr">
        <is>
          <t>D. Iyer</t>
        </is>
      </c>
      <c r="L320" t="n">
        <v>48</v>
      </c>
      <c r="M320" s="3" t="n">
        <v>2126.16</v>
      </c>
      <c r="N320" s="3">
        <f>L320*M320</f>
        <v/>
      </c>
      <c r="O320" s="3">
        <f>N320*0.371</f>
        <v/>
      </c>
      <c r="P320" s="3">
        <f>N320-O320</f>
        <v/>
      </c>
      <c r="Q320" s="4">
        <f>IF(N320=0,0,P320/N320)</f>
        <v/>
      </c>
    </row>
    <row r="321">
      <c r="A321" t="inlineStr">
        <is>
          <t>ORD-1319</t>
        </is>
      </c>
      <c r="B321" s="2" t="n">
        <v>45336</v>
      </c>
      <c r="C321" t="n">
        <v>2024</v>
      </c>
      <c r="D321" t="inlineStr">
        <is>
          <t>Q1</t>
        </is>
      </c>
      <c r="E321" t="inlineStr">
        <is>
          <t>Feb</t>
        </is>
      </c>
      <c r="F321" t="inlineStr">
        <is>
          <t>South</t>
        </is>
      </c>
      <c r="G321" t="inlineStr">
        <is>
          <t>Enterprise</t>
        </is>
      </c>
      <c r="H321" t="inlineStr">
        <is>
          <t>Self-serve</t>
        </is>
      </c>
      <c r="I321" t="inlineStr">
        <is>
          <t>Add-ons</t>
        </is>
      </c>
      <c r="J321" t="inlineStr">
        <is>
          <t>Analytics</t>
        </is>
      </c>
      <c r="K321" t="inlineStr">
        <is>
          <t>F. Shah</t>
        </is>
      </c>
      <c r="L321" t="n">
        <v>50</v>
      </c>
      <c r="M321" s="3" t="n">
        <v>2086.16</v>
      </c>
      <c r="N321" s="3">
        <f>L321*M321</f>
        <v/>
      </c>
      <c r="O321" s="3">
        <f>N321*0.345</f>
        <v/>
      </c>
      <c r="P321" s="3">
        <f>N321-O321</f>
        <v/>
      </c>
      <c r="Q321" s="4">
        <f>IF(N321=0,0,P321/N321)</f>
        <v/>
      </c>
    </row>
    <row r="322">
      <c r="A322" t="inlineStr">
        <is>
          <t>ORD-1320</t>
        </is>
      </c>
      <c r="B322" s="2" t="n">
        <v>45655</v>
      </c>
      <c r="C322" t="n">
        <v>2024</v>
      </c>
      <c r="D322" t="inlineStr">
        <is>
          <t>Q4</t>
        </is>
      </c>
      <c r="E322" t="inlineStr">
        <is>
          <t>Dec</t>
        </is>
      </c>
      <c r="F322" t="inlineStr">
        <is>
          <t>South</t>
        </is>
      </c>
      <c r="G322" t="inlineStr">
        <is>
          <t>SMB</t>
        </is>
      </c>
      <c r="H322" t="inlineStr">
        <is>
          <t>Direct</t>
        </is>
      </c>
      <c r="I322" t="inlineStr">
        <is>
          <t>Services</t>
        </is>
      </c>
      <c r="J322" t="inlineStr">
        <is>
          <t>Training</t>
        </is>
      </c>
      <c r="K322" t="inlineStr">
        <is>
          <t>E. Nair</t>
        </is>
      </c>
      <c r="L322" t="n">
        <v>11</v>
      </c>
      <c r="M322" s="3" t="n">
        <v>1655.53</v>
      </c>
      <c r="N322" s="3">
        <f>L322*M322</f>
        <v/>
      </c>
      <c r="O322" s="3">
        <f>N322*0.345</f>
        <v/>
      </c>
      <c r="P322" s="3">
        <f>N322-O322</f>
        <v/>
      </c>
      <c r="Q322" s="4">
        <f>IF(N322=0,0,P322/N322)</f>
        <v/>
      </c>
    </row>
    <row r="323">
      <c r="A323" t="inlineStr">
        <is>
          <t>ORD-1321</t>
        </is>
      </c>
      <c r="B323" s="2" t="n">
        <v>45435</v>
      </c>
      <c r="C323" t="n">
        <v>2024</v>
      </c>
      <c r="D323" t="inlineStr">
        <is>
          <t>Q2</t>
        </is>
      </c>
      <c r="E323" t="inlineStr">
        <is>
          <t>May</t>
        </is>
      </c>
      <c r="F323" t="inlineStr">
        <is>
          <t>East</t>
        </is>
      </c>
      <c r="G323" t="inlineStr">
        <is>
          <t>Mid-Market</t>
        </is>
      </c>
      <c r="H323" t="inlineStr">
        <is>
          <t>Self-serve</t>
        </is>
      </c>
      <c r="I323" t="inlineStr">
        <is>
          <t>Services</t>
        </is>
      </c>
      <c r="J323" t="inlineStr">
        <is>
          <t>Onboarding</t>
        </is>
      </c>
      <c r="K323" t="inlineStr">
        <is>
          <t>C. Mehta</t>
        </is>
      </c>
      <c r="L323" t="n">
        <v>21</v>
      </c>
      <c r="M323" s="3" t="n">
        <v>2453.8</v>
      </c>
      <c r="N323" s="3">
        <f>L323*M323</f>
        <v/>
      </c>
      <c r="O323" s="3">
        <f>N323*0.164</f>
        <v/>
      </c>
      <c r="P323" s="3">
        <f>N323-O323</f>
        <v/>
      </c>
      <c r="Q323" s="4">
        <f>IF(N323=0,0,P323/N323)</f>
        <v/>
      </c>
    </row>
    <row r="324">
      <c r="A324" t="inlineStr">
        <is>
          <t>ORD-1322</t>
        </is>
      </c>
      <c r="B324" s="2" t="n">
        <v>45555</v>
      </c>
      <c r="C324" t="n">
        <v>2024</v>
      </c>
      <c r="D324" t="inlineStr">
        <is>
          <t>Q3</t>
        </is>
      </c>
      <c r="E324" t="inlineStr">
        <is>
          <t>Sep</t>
        </is>
      </c>
      <c r="F324" t="inlineStr">
        <is>
          <t>West</t>
        </is>
      </c>
      <c r="G324" t="inlineStr">
        <is>
          <t>SMB</t>
        </is>
      </c>
      <c r="H324" t="inlineStr">
        <is>
          <t>Partner</t>
        </is>
      </c>
      <c r="I324" t="inlineStr">
        <is>
          <t>Services</t>
        </is>
      </c>
      <c r="J324" t="inlineStr">
        <is>
          <t>Onboarding</t>
        </is>
      </c>
      <c r="K324" t="inlineStr">
        <is>
          <t>F. Shah</t>
        </is>
      </c>
      <c r="L324" t="n">
        <v>9</v>
      </c>
      <c r="M324" s="3" t="n">
        <v>2418.1</v>
      </c>
      <c r="N324" s="3">
        <f>L324*M324</f>
        <v/>
      </c>
      <c r="O324" s="3">
        <f>N324*0.412</f>
        <v/>
      </c>
      <c r="P324" s="3">
        <f>N324-O324</f>
        <v/>
      </c>
      <c r="Q324" s="4">
        <f>IF(N324=0,0,P324/N324)</f>
        <v/>
      </c>
    </row>
    <row r="325">
      <c r="A325" t="inlineStr">
        <is>
          <t>ORD-1323</t>
        </is>
      </c>
      <c r="B325" s="2" t="n">
        <v>45359</v>
      </c>
      <c r="C325" t="n">
        <v>2024</v>
      </c>
      <c r="D325" t="inlineStr">
        <is>
          <t>Q1</t>
        </is>
      </c>
      <c r="E325" t="inlineStr">
        <is>
          <t>Mar</t>
        </is>
      </c>
      <c r="F325" t="inlineStr">
        <is>
          <t>South</t>
        </is>
      </c>
      <c r="G325" t="inlineStr">
        <is>
          <t>Enterprise</t>
        </is>
      </c>
      <c r="H325" t="inlineStr">
        <is>
          <t>Partner</t>
        </is>
      </c>
      <c r="I325" t="inlineStr">
        <is>
          <t>Subscriptions</t>
        </is>
      </c>
      <c r="J325" t="inlineStr">
        <is>
          <t>Starter</t>
        </is>
      </c>
      <c r="K325" t="inlineStr">
        <is>
          <t>D. Iyer</t>
        </is>
      </c>
      <c r="L325" t="n">
        <v>46</v>
      </c>
      <c r="M325" s="3" t="n">
        <v>1008.61</v>
      </c>
      <c r="N325" s="3">
        <f>L325*M325</f>
        <v/>
      </c>
      <c r="O325" s="3">
        <f>N325*0.407</f>
        <v/>
      </c>
      <c r="P325" s="3">
        <f>N325-O325</f>
        <v/>
      </c>
      <c r="Q325" s="4">
        <f>IF(N325=0,0,P325/N325)</f>
        <v/>
      </c>
    </row>
    <row r="326">
      <c r="A326" t="inlineStr">
        <is>
          <t>ORD-1324</t>
        </is>
      </c>
      <c r="B326" s="2" t="n">
        <v>45615</v>
      </c>
      <c r="C326" t="n">
        <v>2024</v>
      </c>
      <c r="D326" t="inlineStr">
        <is>
          <t>Q4</t>
        </is>
      </c>
      <c r="E326" t="inlineStr">
        <is>
          <t>Nov</t>
        </is>
      </c>
      <c r="F326" t="inlineStr">
        <is>
          <t>North</t>
        </is>
      </c>
      <c r="G326" t="inlineStr">
        <is>
          <t>Enterprise</t>
        </is>
      </c>
      <c r="H326" t="inlineStr">
        <is>
          <t>Direct</t>
        </is>
      </c>
      <c r="I326" t="inlineStr">
        <is>
          <t>Add-ons</t>
        </is>
      </c>
      <c r="J326" t="inlineStr">
        <is>
          <t>Extra Seats</t>
        </is>
      </c>
      <c r="K326" t="inlineStr">
        <is>
          <t>D. Iyer</t>
        </is>
      </c>
      <c r="L326" t="n">
        <v>27</v>
      </c>
      <c r="M326" s="3" t="n">
        <v>1125.38</v>
      </c>
      <c r="N326" s="3">
        <f>L326*M326</f>
        <v/>
      </c>
      <c r="O326" s="3">
        <f>N326*0.295</f>
        <v/>
      </c>
      <c r="P326" s="3">
        <f>N326-O326</f>
        <v/>
      </c>
      <c r="Q326" s="4">
        <f>IF(N326=0,0,P326/N326)</f>
        <v/>
      </c>
    </row>
    <row r="327">
      <c r="A327" t="inlineStr">
        <is>
          <t>ORD-1325</t>
        </is>
      </c>
      <c r="B327" s="2" t="n">
        <v>45434</v>
      </c>
      <c r="C327" t="n">
        <v>2024</v>
      </c>
      <c r="D327" t="inlineStr">
        <is>
          <t>Q2</t>
        </is>
      </c>
      <c r="E327" t="inlineStr">
        <is>
          <t>May</t>
        </is>
      </c>
      <c r="F327" t="inlineStr">
        <is>
          <t>East</t>
        </is>
      </c>
      <c r="G327" t="inlineStr">
        <is>
          <t>Enterprise</t>
        </is>
      </c>
      <c r="H327" t="inlineStr">
        <is>
          <t>Direct</t>
        </is>
      </c>
      <c r="I327" t="inlineStr">
        <is>
          <t>Services</t>
        </is>
      </c>
      <c r="J327" t="inlineStr">
        <is>
          <t>Training</t>
        </is>
      </c>
      <c r="K327" t="inlineStr">
        <is>
          <t>F. Shah</t>
        </is>
      </c>
      <c r="L327" t="n">
        <v>30</v>
      </c>
      <c r="M327" s="3" t="n">
        <v>2390.56</v>
      </c>
      <c r="N327" s="3">
        <f>L327*M327</f>
        <v/>
      </c>
      <c r="O327" s="3">
        <f>N327*0.422</f>
        <v/>
      </c>
      <c r="P327" s="3">
        <f>N327-O327</f>
        <v/>
      </c>
      <c r="Q327" s="4">
        <f>IF(N327=0,0,P327/N327)</f>
        <v/>
      </c>
    </row>
    <row r="328">
      <c r="A328" t="inlineStr">
        <is>
          <t>ORD-1326</t>
        </is>
      </c>
      <c r="B328" s="2" t="n">
        <v>45526</v>
      </c>
      <c r="C328" t="n">
        <v>2024</v>
      </c>
      <c r="D328" t="inlineStr">
        <is>
          <t>Q3</t>
        </is>
      </c>
      <c r="E328" t="inlineStr">
        <is>
          <t>Aug</t>
        </is>
      </c>
      <c r="F328" t="inlineStr">
        <is>
          <t>West</t>
        </is>
      </c>
      <c r="G328" t="inlineStr">
        <is>
          <t>SMB</t>
        </is>
      </c>
      <c r="H328" t="inlineStr">
        <is>
          <t>Partner</t>
        </is>
      </c>
      <c r="I328" t="inlineStr">
        <is>
          <t>Services</t>
        </is>
      </c>
      <c r="J328" t="inlineStr">
        <is>
          <t>Training</t>
        </is>
      </c>
      <c r="K328" t="inlineStr">
        <is>
          <t>B. Khan</t>
        </is>
      </c>
      <c r="L328" t="n">
        <v>5</v>
      </c>
      <c r="M328" s="3" t="n">
        <v>2050.49</v>
      </c>
      <c r="N328" s="3">
        <f>L328*M328</f>
        <v/>
      </c>
      <c r="O328" s="3">
        <f>N328*0.302</f>
        <v/>
      </c>
      <c r="P328" s="3">
        <f>N328-O328</f>
        <v/>
      </c>
      <c r="Q328" s="4">
        <f>IF(N328=0,0,P328/N328)</f>
        <v/>
      </c>
    </row>
    <row r="329">
      <c r="A329" t="inlineStr">
        <is>
          <t>ORD-1327</t>
        </is>
      </c>
      <c r="B329" s="2" t="n">
        <v>45457</v>
      </c>
      <c r="C329" t="n">
        <v>2024</v>
      </c>
      <c r="D329" t="inlineStr">
        <is>
          <t>Q2</t>
        </is>
      </c>
      <c r="E329" t="inlineStr">
        <is>
          <t>Jun</t>
        </is>
      </c>
      <c r="F329" t="inlineStr">
        <is>
          <t>West</t>
        </is>
      </c>
      <c r="G329" t="inlineStr">
        <is>
          <t>Mid-Market</t>
        </is>
      </c>
      <c r="H329" t="inlineStr">
        <is>
          <t>Self-serve</t>
        </is>
      </c>
      <c r="I329" t="inlineStr">
        <is>
          <t>Add-ons</t>
        </is>
      </c>
      <c r="J329" t="inlineStr">
        <is>
          <t>Support Plus</t>
        </is>
      </c>
      <c r="K329" t="inlineStr">
        <is>
          <t>A. Rao</t>
        </is>
      </c>
      <c r="L329" t="n">
        <v>36</v>
      </c>
      <c r="M329" s="3" t="n">
        <v>1571.45</v>
      </c>
      <c r="N329" s="3">
        <f>L329*M329</f>
        <v/>
      </c>
      <c r="O329" s="3">
        <f>N329*0.436</f>
        <v/>
      </c>
      <c r="P329" s="3">
        <f>N329-O329</f>
        <v/>
      </c>
      <c r="Q329" s="4">
        <f>IF(N329=0,0,P329/N329)</f>
        <v/>
      </c>
    </row>
    <row r="330">
      <c r="A330" t="inlineStr">
        <is>
          <t>ORD-1328</t>
        </is>
      </c>
      <c r="B330" s="2" t="n">
        <v>45612</v>
      </c>
      <c r="C330" t="n">
        <v>2024</v>
      </c>
      <c r="D330" t="inlineStr">
        <is>
          <t>Q4</t>
        </is>
      </c>
      <c r="E330" t="inlineStr">
        <is>
          <t>Nov</t>
        </is>
      </c>
      <c r="F330" t="inlineStr">
        <is>
          <t>South</t>
        </is>
      </c>
      <c r="G330" t="inlineStr">
        <is>
          <t>Mid-Market</t>
        </is>
      </c>
      <c r="H330" t="inlineStr">
        <is>
          <t>Partner</t>
        </is>
      </c>
      <c r="I330" t="inlineStr">
        <is>
          <t>Add-ons</t>
        </is>
      </c>
      <c r="J330" t="inlineStr">
        <is>
          <t>Analytics</t>
        </is>
      </c>
      <c r="K330" t="inlineStr">
        <is>
          <t>A. Rao</t>
        </is>
      </c>
      <c r="L330" t="n">
        <v>8</v>
      </c>
      <c r="M330" s="3" t="n">
        <v>2344.75</v>
      </c>
      <c r="N330" s="3">
        <f>L330*M330</f>
        <v/>
      </c>
      <c r="O330" s="3">
        <f>N330*0.152</f>
        <v/>
      </c>
      <c r="P330" s="3">
        <f>N330-O330</f>
        <v/>
      </c>
      <c r="Q330" s="4">
        <f>IF(N330=0,0,P330/N330)</f>
        <v/>
      </c>
    </row>
    <row r="331">
      <c r="A331" t="inlineStr">
        <is>
          <t>ORD-1329</t>
        </is>
      </c>
      <c r="B331" s="2" t="n">
        <v>45511</v>
      </c>
      <c r="C331" t="n">
        <v>2024</v>
      </c>
      <c r="D331" t="inlineStr">
        <is>
          <t>Q3</t>
        </is>
      </c>
      <c r="E331" t="inlineStr">
        <is>
          <t>Aug</t>
        </is>
      </c>
      <c r="F331" t="inlineStr">
        <is>
          <t>East</t>
        </is>
      </c>
      <c r="G331" t="inlineStr">
        <is>
          <t>SMB</t>
        </is>
      </c>
      <c r="H331" t="inlineStr">
        <is>
          <t>Partner</t>
        </is>
      </c>
      <c r="I331" t="inlineStr">
        <is>
          <t>Subscriptions</t>
        </is>
      </c>
      <c r="J331" t="inlineStr">
        <is>
          <t>Enterprise</t>
        </is>
      </c>
      <c r="K331" t="inlineStr">
        <is>
          <t>A. Rao</t>
        </is>
      </c>
      <c r="L331" t="n">
        <v>9</v>
      </c>
      <c r="M331" s="3" t="n">
        <v>2240.73</v>
      </c>
      <c r="N331" s="3">
        <f>L331*M331</f>
        <v/>
      </c>
      <c r="O331" s="3">
        <f>N331*0.254</f>
        <v/>
      </c>
      <c r="P331" s="3">
        <f>N331-O331</f>
        <v/>
      </c>
      <c r="Q331" s="4">
        <f>IF(N331=0,0,P331/N331)</f>
        <v/>
      </c>
    </row>
    <row r="332">
      <c r="A332" t="inlineStr">
        <is>
          <t>ORD-1330</t>
        </is>
      </c>
      <c r="B332" s="2" t="n">
        <v>45420</v>
      </c>
      <c r="C332" t="n">
        <v>2024</v>
      </c>
      <c r="D332" t="inlineStr">
        <is>
          <t>Q2</t>
        </is>
      </c>
      <c r="E332" t="inlineStr">
        <is>
          <t>May</t>
        </is>
      </c>
      <c r="F332" t="inlineStr">
        <is>
          <t>South</t>
        </is>
      </c>
      <c r="G332" t="inlineStr">
        <is>
          <t>SMB</t>
        </is>
      </c>
      <c r="H332" t="inlineStr">
        <is>
          <t>Partner</t>
        </is>
      </c>
      <c r="I332" t="inlineStr">
        <is>
          <t>Subscriptions</t>
        </is>
      </c>
      <c r="J332" t="inlineStr">
        <is>
          <t>Pro</t>
        </is>
      </c>
      <c r="K332" t="inlineStr">
        <is>
          <t>F. Shah</t>
        </is>
      </c>
      <c r="L332" t="n">
        <v>43</v>
      </c>
      <c r="M332" s="3" t="n">
        <v>2288.36</v>
      </c>
      <c r="N332" s="3">
        <f>L332*M332</f>
        <v/>
      </c>
      <c r="O332" s="3">
        <f>N332*0.358</f>
        <v/>
      </c>
      <c r="P332" s="3">
        <f>N332-O332</f>
        <v/>
      </c>
      <c r="Q332" s="4">
        <f>IF(N332=0,0,P332/N332)</f>
        <v/>
      </c>
    </row>
    <row r="333">
      <c r="A333" t="inlineStr">
        <is>
          <t>ORD-1331</t>
        </is>
      </c>
      <c r="B333" s="2" t="n">
        <v>45650</v>
      </c>
      <c r="C333" t="n">
        <v>2024</v>
      </c>
      <c r="D333" t="inlineStr">
        <is>
          <t>Q4</t>
        </is>
      </c>
      <c r="E333" t="inlineStr">
        <is>
          <t>Dec</t>
        </is>
      </c>
      <c r="F333" t="inlineStr">
        <is>
          <t>North</t>
        </is>
      </c>
      <c r="G333" t="inlineStr">
        <is>
          <t>SMB</t>
        </is>
      </c>
      <c r="H333" t="inlineStr">
        <is>
          <t>Direct</t>
        </is>
      </c>
      <c r="I333" t="inlineStr">
        <is>
          <t>Subscriptions</t>
        </is>
      </c>
      <c r="J333" t="inlineStr">
        <is>
          <t>Pro</t>
        </is>
      </c>
      <c r="K333" t="inlineStr">
        <is>
          <t>D. Iyer</t>
        </is>
      </c>
      <c r="L333" t="n">
        <v>42</v>
      </c>
      <c r="M333" s="3" t="n">
        <v>500.64</v>
      </c>
      <c r="N333" s="3">
        <f>L333*M333</f>
        <v/>
      </c>
      <c r="O333" s="3">
        <f>N333*0.427</f>
        <v/>
      </c>
      <c r="P333" s="3">
        <f>N333-O333</f>
        <v/>
      </c>
      <c r="Q333" s="4">
        <f>IF(N333=0,0,P333/N333)</f>
        <v/>
      </c>
    </row>
    <row r="334">
      <c r="A334" t="inlineStr">
        <is>
          <t>ORD-1332</t>
        </is>
      </c>
      <c r="B334" s="2" t="n">
        <v>45595</v>
      </c>
      <c r="C334" t="n">
        <v>2024</v>
      </c>
      <c r="D334" t="inlineStr">
        <is>
          <t>Q4</t>
        </is>
      </c>
      <c r="E334" t="inlineStr">
        <is>
          <t>Oct</t>
        </is>
      </c>
      <c r="F334" t="inlineStr">
        <is>
          <t>North</t>
        </is>
      </c>
      <c r="G334" t="inlineStr">
        <is>
          <t>Enterprise</t>
        </is>
      </c>
      <c r="H334" t="inlineStr">
        <is>
          <t>Partner</t>
        </is>
      </c>
      <c r="I334" t="inlineStr">
        <is>
          <t>Subscriptions</t>
        </is>
      </c>
      <c r="J334" t="inlineStr">
        <is>
          <t>Enterprise</t>
        </is>
      </c>
      <c r="K334" t="inlineStr">
        <is>
          <t>A. Rao</t>
        </is>
      </c>
      <c r="L334" t="n">
        <v>44</v>
      </c>
      <c r="M334" s="3" t="n">
        <v>1279.15</v>
      </c>
      <c r="N334" s="3">
        <f>L334*M334</f>
        <v/>
      </c>
      <c r="O334" s="3">
        <f>N334*0.154</f>
        <v/>
      </c>
      <c r="P334" s="3">
        <f>N334-O334</f>
        <v/>
      </c>
      <c r="Q334" s="4">
        <f>IF(N334=0,0,P334/N334)</f>
        <v/>
      </c>
    </row>
    <row r="335">
      <c r="A335" t="inlineStr">
        <is>
          <t>ORD-1333</t>
        </is>
      </c>
      <c r="B335" s="2" t="n">
        <v>45508</v>
      </c>
      <c r="C335" t="n">
        <v>2024</v>
      </c>
      <c r="D335" t="inlineStr">
        <is>
          <t>Q3</t>
        </is>
      </c>
      <c r="E335" t="inlineStr">
        <is>
          <t>Aug</t>
        </is>
      </c>
      <c r="F335" t="inlineStr">
        <is>
          <t>West</t>
        </is>
      </c>
      <c r="G335" t="inlineStr">
        <is>
          <t>SMB</t>
        </is>
      </c>
      <c r="H335" t="inlineStr">
        <is>
          <t>Self-serve</t>
        </is>
      </c>
      <c r="I335" t="inlineStr">
        <is>
          <t>Services</t>
        </is>
      </c>
      <c r="J335" t="inlineStr">
        <is>
          <t>Onboarding</t>
        </is>
      </c>
      <c r="K335" t="inlineStr">
        <is>
          <t>A. Rao</t>
        </is>
      </c>
      <c r="L335" t="n">
        <v>31</v>
      </c>
      <c r="M335" s="3" t="n">
        <v>455.82</v>
      </c>
      <c r="N335" s="3">
        <f>L335*M335</f>
        <v/>
      </c>
      <c r="O335" s="3">
        <f>N335*0.419</f>
        <v/>
      </c>
      <c r="P335" s="3">
        <f>N335-O335</f>
        <v/>
      </c>
      <c r="Q335" s="4">
        <f>IF(N335=0,0,P335/N335)</f>
        <v/>
      </c>
    </row>
    <row r="336">
      <c r="A336" t="inlineStr">
        <is>
          <t>ORD-1334</t>
        </is>
      </c>
      <c r="B336" s="2" t="n">
        <v>45480</v>
      </c>
      <c r="C336" t="n">
        <v>2024</v>
      </c>
      <c r="D336" t="inlineStr">
        <is>
          <t>Q3</t>
        </is>
      </c>
      <c r="E336" t="inlineStr">
        <is>
          <t>Jul</t>
        </is>
      </c>
      <c r="F336" t="inlineStr">
        <is>
          <t>South</t>
        </is>
      </c>
      <c r="G336" t="inlineStr">
        <is>
          <t>Enterprise</t>
        </is>
      </c>
      <c r="H336" t="inlineStr">
        <is>
          <t>Self-serve</t>
        </is>
      </c>
      <c r="I336" t="inlineStr">
        <is>
          <t>Add-ons</t>
        </is>
      </c>
      <c r="J336" t="inlineStr">
        <is>
          <t>Analytics</t>
        </is>
      </c>
      <c r="K336" t="inlineStr">
        <is>
          <t>B. Khan</t>
        </is>
      </c>
      <c r="L336" t="n">
        <v>25</v>
      </c>
      <c r="M336" s="3" t="n">
        <v>2001.61</v>
      </c>
      <c r="N336" s="3">
        <f>L336*M336</f>
        <v/>
      </c>
      <c r="O336" s="3">
        <f>N336*0.429</f>
        <v/>
      </c>
      <c r="P336" s="3">
        <f>N336-O336</f>
        <v/>
      </c>
      <c r="Q336" s="4">
        <f>IF(N336=0,0,P336/N336)</f>
        <v/>
      </c>
    </row>
    <row r="337">
      <c r="A337" t="inlineStr">
        <is>
          <t>ORD-1335</t>
        </is>
      </c>
      <c r="B337" s="2" t="n">
        <v>45580</v>
      </c>
      <c r="C337" t="n">
        <v>2024</v>
      </c>
      <c r="D337" t="inlineStr">
        <is>
          <t>Q4</t>
        </is>
      </c>
      <c r="E337" t="inlineStr">
        <is>
          <t>Oct</t>
        </is>
      </c>
      <c r="F337" t="inlineStr">
        <is>
          <t>East</t>
        </is>
      </c>
      <c r="G337" t="inlineStr">
        <is>
          <t>Enterprise</t>
        </is>
      </c>
      <c r="H337" t="inlineStr">
        <is>
          <t>Direct</t>
        </is>
      </c>
      <c r="I337" t="inlineStr">
        <is>
          <t>Subscriptions</t>
        </is>
      </c>
      <c r="J337" t="inlineStr">
        <is>
          <t>Enterprise</t>
        </is>
      </c>
      <c r="K337" t="inlineStr">
        <is>
          <t>F. Shah</t>
        </is>
      </c>
      <c r="L337" t="n">
        <v>42</v>
      </c>
      <c r="M337" s="3" t="n">
        <v>661.0599999999999</v>
      </c>
      <c r="N337" s="3">
        <f>L337*M337</f>
        <v/>
      </c>
      <c r="O337" s="3">
        <f>N337*0.226</f>
        <v/>
      </c>
      <c r="P337" s="3">
        <f>N337-O337</f>
        <v/>
      </c>
      <c r="Q337" s="4">
        <f>IF(N337=0,0,P337/N337)</f>
        <v/>
      </c>
    </row>
    <row r="338">
      <c r="A338" t="inlineStr">
        <is>
          <t>ORD-1336</t>
        </is>
      </c>
      <c r="B338" s="2" t="n">
        <v>45502</v>
      </c>
      <c r="C338" t="n">
        <v>2024</v>
      </c>
      <c r="D338" t="inlineStr">
        <is>
          <t>Q3</t>
        </is>
      </c>
      <c r="E338" t="inlineStr">
        <is>
          <t>Jul</t>
        </is>
      </c>
      <c r="F338" t="inlineStr">
        <is>
          <t>North</t>
        </is>
      </c>
      <c r="G338" t="inlineStr">
        <is>
          <t>SMB</t>
        </is>
      </c>
      <c r="H338" t="inlineStr">
        <is>
          <t>Direct</t>
        </is>
      </c>
      <c r="I338" t="inlineStr">
        <is>
          <t>Services</t>
        </is>
      </c>
      <c r="J338" t="inlineStr">
        <is>
          <t>Training</t>
        </is>
      </c>
      <c r="K338" t="inlineStr">
        <is>
          <t>E. Nair</t>
        </is>
      </c>
      <c r="L338" t="n">
        <v>14</v>
      </c>
      <c r="M338" s="3" t="n">
        <v>490.71</v>
      </c>
      <c r="N338" s="3">
        <f>L338*M338</f>
        <v/>
      </c>
      <c r="O338" s="3">
        <f>N338*0.231</f>
        <v/>
      </c>
      <c r="P338" s="3">
        <f>N338-O338</f>
        <v/>
      </c>
      <c r="Q338" s="4">
        <f>IF(N338=0,0,P338/N338)</f>
        <v/>
      </c>
    </row>
    <row r="339">
      <c r="A339" t="inlineStr">
        <is>
          <t>ORD-1337</t>
        </is>
      </c>
      <c r="B339" s="2" t="n">
        <v>45471</v>
      </c>
      <c r="C339" t="n">
        <v>2024</v>
      </c>
      <c r="D339" t="inlineStr">
        <is>
          <t>Q2</t>
        </is>
      </c>
      <c r="E339" t="inlineStr">
        <is>
          <t>Jun</t>
        </is>
      </c>
      <c r="F339" t="inlineStr">
        <is>
          <t>North</t>
        </is>
      </c>
      <c r="G339" t="inlineStr">
        <is>
          <t>SMB</t>
        </is>
      </c>
      <c r="H339" t="inlineStr">
        <is>
          <t>Self-serve</t>
        </is>
      </c>
      <c r="I339" t="inlineStr">
        <is>
          <t>Add-ons</t>
        </is>
      </c>
      <c r="J339" t="inlineStr">
        <is>
          <t>Support Plus</t>
        </is>
      </c>
      <c r="K339" t="inlineStr">
        <is>
          <t>E. Nair</t>
        </is>
      </c>
      <c r="L339" t="n">
        <v>9</v>
      </c>
      <c r="M339" s="3" t="n">
        <v>845.13</v>
      </c>
      <c r="N339" s="3">
        <f>L339*M339</f>
        <v/>
      </c>
      <c r="O339" s="3">
        <f>N339*0.27</f>
        <v/>
      </c>
      <c r="P339" s="3">
        <f>N339-O339</f>
        <v/>
      </c>
      <c r="Q339" s="4">
        <f>IF(N339=0,0,P339/N339)</f>
        <v/>
      </c>
    </row>
    <row r="340">
      <c r="A340" t="inlineStr">
        <is>
          <t>ORD-1338</t>
        </is>
      </c>
      <c r="B340" s="2" t="n">
        <v>45603</v>
      </c>
      <c r="C340" t="n">
        <v>2024</v>
      </c>
      <c r="D340" t="inlineStr">
        <is>
          <t>Q4</t>
        </is>
      </c>
      <c r="E340" t="inlineStr">
        <is>
          <t>Nov</t>
        </is>
      </c>
      <c r="F340" t="inlineStr">
        <is>
          <t>East</t>
        </is>
      </c>
      <c r="G340" t="inlineStr">
        <is>
          <t>SMB</t>
        </is>
      </c>
      <c r="H340" t="inlineStr">
        <is>
          <t>Self-serve</t>
        </is>
      </c>
      <c r="I340" t="inlineStr">
        <is>
          <t>Add-ons</t>
        </is>
      </c>
      <c r="J340" t="inlineStr">
        <is>
          <t>Extra Seats</t>
        </is>
      </c>
      <c r="K340" t="inlineStr">
        <is>
          <t>E. Nair</t>
        </is>
      </c>
      <c r="L340" t="n">
        <v>2</v>
      </c>
      <c r="M340" s="3" t="n">
        <v>2165.36</v>
      </c>
      <c r="N340" s="3">
        <f>L340*M340</f>
        <v/>
      </c>
      <c r="O340" s="3">
        <f>N340*0.297</f>
        <v/>
      </c>
      <c r="P340" s="3">
        <f>N340-O340</f>
        <v/>
      </c>
      <c r="Q340" s="4">
        <f>IF(N340=0,0,P340/N340)</f>
        <v/>
      </c>
    </row>
    <row r="341">
      <c r="A341" t="inlineStr">
        <is>
          <t>ORD-1339</t>
        </is>
      </c>
      <c r="B341" s="2" t="n">
        <v>45492</v>
      </c>
      <c r="C341" t="n">
        <v>2024</v>
      </c>
      <c r="D341" t="inlineStr">
        <is>
          <t>Q3</t>
        </is>
      </c>
      <c r="E341" t="inlineStr">
        <is>
          <t>Jul</t>
        </is>
      </c>
      <c r="F341" t="inlineStr">
        <is>
          <t>South</t>
        </is>
      </c>
      <c r="G341" t="inlineStr">
        <is>
          <t>Mid-Market</t>
        </is>
      </c>
      <c r="H341" t="inlineStr">
        <is>
          <t>Partner</t>
        </is>
      </c>
      <c r="I341" t="inlineStr">
        <is>
          <t>Add-ons</t>
        </is>
      </c>
      <c r="J341" t="inlineStr">
        <is>
          <t>Extra Seats</t>
        </is>
      </c>
      <c r="K341" t="inlineStr">
        <is>
          <t>A. Rao</t>
        </is>
      </c>
      <c r="L341" t="n">
        <v>4</v>
      </c>
      <c r="M341" s="3" t="n">
        <v>2024.36</v>
      </c>
      <c r="N341" s="3">
        <f>L341*M341</f>
        <v/>
      </c>
      <c r="O341" s="3">
        <f>N341*0.378</f>
        <v/>
      </c>
      <c r="P341" s="3">
        <f>N341-O341</f>
        <v/>
      </c>
      <c r="Q341" s="4">
        <f>IF(N341=0,0,P341/N341)</f>
        <v/>
      </c>
    </row>
    <row r="342">
      <c r="A342" t="inlineStr">
        <is>
          <t>ORD-1340</t>
        </is>
      </c>
      <c r="B342" s="2" t="n">
        <v>45618</v>
      </c>
      <c r="C342" t="n">
        <v>2024</v>
      </c>
      <c r="D342" t="inlineStr">
        <is>
          <t>Q4</t>
        </is>
      </c>
      <c r="E342" t="inlineStr">
        <is>
          <t>Nov</t>
        </is>
      </c>
      <c r="F342" t="inlineStr">
        <is>
          <t>North</t>
        </is>
      </c>
      <c r="G342" t="inlineStr">
        <is>
          <t>Mid-Market</t>
        </is>
      </c>
      <c r="H342" t="inlineStr">
        <is>
          <t>Partner</t>
        </is>
      </c>
      <c r="I342" t="inlineStr">
        <is>
          <t>Services</t>
        </is>
      </c>
      <c r="J342" t="inlineStr">
        <is>
          <t>Onboarding</t>
        </is>
      </c>
      <c r="K342" t="inlineStr">
        <is>
          <t>B. Khan</t>
        </is>
      </c>
      <c r="L342" t="n">
        <v>34</v>
      </c>
      <c r="M342" s="3" t="n">
        <v>2255.19</v>
      </c>
      <c r="N342" s="3">
        <f>L342*M342</f>
        <v/>
      </c>
      <c r="O342" s="3">
        <f>N342*0.334</f>
        <v/>
      </c>
      <c r="P342" s="3">
        <f>N342-O342</f>
        <v/>
      </c>
      <c r="Q342" s="4">
        <f>IF(N342=0,0,P342/N342)</f>
        <v/>
      </c>
    </row>
    <row r="343">
      <c r="A343" t="inlineStr">
        <is>
          <t>ORD-1341</t>
        </is>
      </c>
      <c r="B343" s="2" t="n">
        <v>45583</v>
      </c>
      <c r="C343" t="n">
        <v>2024</v>
      </c>
      <c r="D343" t="inlineStr">
        <is>
          <t>Q4</t>
        </is>
      </c>
      <c r="E343" t="inlineStr">
        <is>
          <t>Oct</t>
        </is>
      </c>
      <c r="F343" t="inlineStr">
        <is>
          <t>West</t>
        </is>
      </c>
      <c r="G343" t="inlineStr">
        <is>
          <t>SMB</t>
        </is>
      </c>
      <c r="H343" t="inlineStr">
        <is>
          <t>Direct</t>
        </is>
      </c>
      <c r="I343" t="inlineStr">
        <is>
          <t>Add-ons</t>
        </is>
      </c>
      <c r="J343" t="inlineStr">
        <is>
          <t>Support Plus</t>
        </is>
      </c>
      <c r="K343" t="inlineStr">
        <is>
          <t>E. Nair</t>
        </is>
      </c>
      <c r="L343" t="n">
        <v>35</v>
      </c>
      <c r="M343" s="3" t="n">
        <v>1802.47</v>
      </c>
      <c r="N343" s="3">
        <f>L343*M343</f>
        <v/>
      </c>
      <c r="O343" s="3">
        <f>N343*0.43</f>
        <v/>
      </c>
      <c r="P343" s="3">
        <f>N343-O343</f>
        <v/>
      </c>
      <c r="Q343" s="4">
        <f>IF(N343=0,0,P343/N343)</f>
        <v/>
      </c>
    </row>
    <row r="344">
      <c r="A344" t="inlineStr">
        <is>
          <t>ORD-1342</t>
        </is>
      </c>
      <c r="B344" s="2" t="n">
        <v>45426</v>
      </c>
      <c r="C344" t="n">
        <v>2024</v>
      </c>
      <c r="D344" t="inlineStr">
        <is>
          <t>Q2</t>
        </is>
      </c>
      <c r="E344" t="inlineStr">
        <is>
          <t>May</t>
        </is>
      </c>
      <c r="F344" t="inlineStr">
        <is>
          <t>West</t>
        </is>
      </c>
      <c r="G344" t="inlineStr">
        <is>
          <t>Enterprise</t>
        </is>
      </c>
      <c r="H344" t="inlineStr">
        <is>
          <t>Partner</t>
        </is>
      </c>
      <c r="I344" t="inlineStr">
        <is>
          <t>Subscriptions</t>
        </is>
      </c>
      <c r="J344" t="inlineStr">
        <is>
          <t>Starter</t>
        </is>
      </c>
      <c r="K344" t="inlineStr">
        <is>
          <t>F. Shah</t>
        </is>
      </c>
      <c r="L344" t="n">
        <v>4</v>
      </c>
      <c r="M344" s="3" t="n">
        <v>2387.1</v>
      </c>
      <c r="N344" s="3">
        <f>L344*M344</f>
        <v/>
      </c>
      <c r="O344" s="3">
        <f>N344*0.236</f>
        <v/>
      </c>
      <c r="P344" s="3">
        <f>N344-O344</f>
        <v/>
      </c>
      <c r="Q344" s="4">
        <f>IF(N344=0,0,P344/N344)</f>
        <v/>
      </c>
    </row>
    <row r="345">
      <c r="A345" t="inlineStr">
        <is>
          <t>ORD-1343</t>
        </is>
      </c>
      <c r="B345" s="2" t="n">
        <v>45504</v>
      </c>
      <c r="C345" t="n">
        <v>2024</v>
      </c>
      <c r="D345" t="inlineStr">
        <is>
          <t>Q3</t>
        </is>
      </c>
      <c r="E345" t="inlineStr">
        <is>
          <t>Jul</t>
        </is>
      </c>
      <c r="F345" t="inlineStr">
        <is>
          <t>South</t>
        </is>
      </c>
      <c r="G345" t="inlineStr">
        <is>
          <t>Mid-Market</t>
        </is>
      </c>
      <c r="H345" t="inlineStr">
        <is>
          <t>Direct</t>
        </is>
      </c>
      <c r="I345" t="inlineStr">
        <is>
          <t>Add-ons</t>
        </is>
      </c>
      <c r="J345" t="inlineStr">
        <is>
          <t>Extra Seats</t>
        </is>
      </c>
      <c r="K345" t="inlineStr">
        <is>
          <t>C. Mehta</t>
        </is>
      </c>
      <c r="L345" t="n">
        <v>26</v>
      </c>
      <c r="M345" s="3" t="n">
        <v>481.34</v>
      </c>
      <c r="N345" s="3">
        <f>L345*M345</f>
        <v/>
      </c>
      <c r="O345" s="3">
        <f>N345*0.426</f>
        <v/>
      </c>
      <c r="P345" s="3">
        <f>N345-O345</f>
        <v/>
      </c>
      <c r="Q345" s="4">
        <f>IF(N345=0,0,P345/N345)</f>
        <v/>
      </c>
    </row>
    <row r="346">
      <c r="A346" t="inlineStr">
        <is>
          <t>ORD-1344</t>
        </is>
      </c>
      <c r="B346" s="2" t="n">
        <v>45396</v>
      </c>
      <c r="C346" t="n">
        <v>2024</v>
      </c>
      <c r="D346" t="inlineStr">
        <is>
          <t>Q2</t>
        </is>
      </c>
      <c r="E346" t="inlineStr">
        <is>
          <t>Apr</t>
        </is>
      </c>
      <c r="F346" t="inlineStr">
        <is>
          <t>North</t>
        </is>
      </c>
      <c r="G346" t="inlineStr">
        <is>
          <t>Mid-Market</t>
        </is>
      </c>
      <c r="H346" t="inlineStr">
        <is>
          <t>Self-serve</t>
        </is>
      </c>
      <c r="I346" t="inlineStr">
        <is>
          <t>Subscriptions</t>
        </is>
      </c>
      <c r="J346" t="inlineStr">
        <is>
          <t>Enterprise</t>
        </is>
      </c>
      <c r="K346" t="inlineStr">
        <is>
          <t>D. Iyer</t>
        </is>
      </c>
      <c r="L346" t="n">
        <v>21</v>
      </c>
      <c r="M346" s="3" t="n">
        <v>1159.61</v>
      </c>
      <c r="N346" s="3">
        <f>L346*M346</f>
        <v/>
      </c>
      <c r="O346" s="3">
        <f>N346*0.231</f>
        <v/>
      </c>
      <c r="P346" s="3">
        <f>N346-O346</f>
        <v/>
      </c>
      <c r="Q346" s="4">
        <f>IF(N346=0,0,P346/N346)</f>
        <v/>
      </c>
    </row>
    <row r="347">
      <c r="A347" t="inlineStr">
        <is>
          <t>ORD-1345</t>
        </is>
      </c>
      <c r="B347" s="2" t="n">
        <v>45414</v>
      </c>
      <c r="C347" t="n">
        <v>2024</v>
      </c>
      <c r="D347" t="inlineStr">
        <is>
          <t>Q2</t>
        </is>
      </c>
      <c r="E347" t="inlineStr">
        <is>
          <t>May</t>
        </is>
      </c>
      <c r="F347" t="inlineStr">
        <is>
          <t>North</t>
        </is>
      </c>
      <c r="G347" t="inlineStr">
        <is>
          <t>Mid-Market</t>
        </is>
      </c>
      <c r="H347" t="inlineStr">
        <is>
          <t>Self-serve</t>
        </is>
      </c>
      <c r="I347" t="inlineStr">
        <is>
          <t>Subscriptions</t>
        </is>
      </c>
      <c r="J347" t="inlineStr">
        <is>
          <t>Starter</t>
        </is>
      </c>
      <c r="K347" t="inlineStr">
        <is>
          <t>E. Nair</t>
        </is>
      </c>
      <c r="L347" t="n">
        <v>6</v>
      </c>
      <c r="M347" s="3" t="n">
        <v>2334.18</v>
      </c>
      <c r="N347" s="3">
        <f>L347*M347</f>
        <v/>
      </c>
      <c r="O347" s="3">
        <f>N347*0.433</f>
        <v/>
      </c>
      <c r="P347" s="3">
        <f>N347-O347</f>
        <v/>
      </c>
      <c r="Q347" s="4">
        <f>IF(N347=0,0,P347/N347)</f>
        <v/>
      </c>
    </row>
    <row r="348">
      <c r="A348" t="inlineStr">
        <is>
          <t>ORD-1346</t>
        </is>
      </c>
      <c r="B348" s="2" t="n">
        <v>45633</v>
      </c>
      <c r="C348" t="n">
        <v>2024</v>
      </c>
      <c r="D348" t="inlineStr">
        <is>
          <t>Q4</t>
        </is>
      </c>
      <c r="E348" t="inlineStr">
        <is>
          <t>Dec</t>
        </is>
      </c>
      <c r="F348" t="inlineStr">
        <is>
          <t>South</t>
        </is>
      </c>
      <c r="G348" t="inlineStr">
        <is>
          <t>Enterprise</t>
        </is>
      </c>
      <c r="H348" t="inlineStr">
        <is>
          <t>Direct</t>
        </is>
      </c>
      <c r="I348" t="inlineStr">
        <is>
          <t>Services</t>
        </is>
      </c>
      <c r="J348" t="inlineStr">
        <is>
          <t>Onboarding</t>
        </is>
      </c>
      <c r="K348" t="inlineStr">
        <is>
          <t>B. Khan</t>
        </is>
      </c>
      <c r="L348" t="n">
        <v>8</v>
      </c>
      <c r="M348" s="3" t="n">
        <v>327.86</v>
      </c>
      <c r="N348" s="3">
        <f>L348*M348</f>
        <v/>
      </c>
      <c r="O348" s="3">
        <f>N348*0.301</f>
        <v/>
      </c>
      <c r="P348" s="3">
        <f>N348-O348</f>
        <v/>
      </c>
      <c r="Q348" s="4">
        <f>IF(N348=0,0,P348/N348)</f>
        <v/>
      </c>
    </row>
    <row r="349">
      <c r="A349" t="inlineStr">
        <is>
          <t>ORD-1347</t>
        </is>
      </c>
      <c r="B349" s="2" t="n">
        <v>45469</v>
      </c>
      <c r="C349" t="n">
        <v>2024</v>
      </c>
      <c r="D349" t="inlineStr">
        <is>
          <t>Q2</t>
        </is>
      </c>
      <c r="E349" t="inlineStr">
        <is>
          <t>Jun</t>
        </is>
      </c>
      <c r="F349" t="inlineStr">
        <is>
          <t>East</t>
        </is>
      </c>
      <c r="G349" t="inlineStr">
        <is>
          <t>Enterprise</t>
        </is>
      </c>
      <c r="H349" t="inlineStr">
        <is>
          <t>Direct</t>
        </is>
      </c>
      <c r="I349" t="inlineStr">
        <is>
          <t>Services</t>
        </is>
      </c>
      <c r="J349" t="inlineStr">
        <is>
          <t>Training</t>
        </is>
      </c>
      <c r="K349" t="inlineStr">
        <is>
          <t>A. Rao</t>
        </is>
      </c>
      <c r="L349" t="n">
        <v>11</v>
      </c>
      <c r="M349" s="3" t="n">
        <v>1118.11</v>
      </c>
      <c r="N349" s="3">
        <f>L349*M349</f>
        <v/>
      </c>
      <c r="O349" s="3">
        <f>N349*0.349</f>
        <v/>
      </c>
      <c r="P349" s="3">
        <f>N349-O349</f>
        <v/>
      </c>
      <c r="Q349" s="4">
        <f>IF(N349=0,0,P349/N349)</f>
        <v/>
      </c>
    </row>
    <row r="350">
      <c r="A350" t="inlineStr">
        <is>
          <t>ORD-1348</t>
        </is>
      </c>
      <c r="B350" s="2" t="n">
        <v>45511</v>
      </c>
      <c r="C350" t="n">
        <v>2024</v>
      </c>
      <c r="D350" t="inlineStr">
        <is>
          <t>Q3</t>
        </is>
      </c>
      <c r="E350" t="inlineStr">
        <is>
          <t>Aug</t>
        </is>
      </c>
      <c r="F350" t="inlineStr">
        <is>
          <t>North</t>
        </is>
      </c>
      <c r="G350" t="inlineStr">
        <is>
          <t>Mid-Market</t>
        </is>
      </c>
      <c r="H350" t="inlineStr">
        <is>
          <t>Partner</t>
        </is>
      </c>
      <c r="I350" t="inlineStr">
        <is>
          <t>Add-ons</t>
        </is>
      </c>
      <c r="J350" t="inlineStr">
        <is>
          <t>Extra Seats</t>
        </is>
      </c>
      <c r="K350" t="inlineStr">
        <is>
          <t>E. Nair</t>
        </is>
      </c>
      <c r="L350" t="n">
        <v>5</v>
      </c>
      <c r="M350" s="3" t="n">
        <v>878.49</v>
      </c>
      <c r="N350" s="3">
        <f>L350*M350</f>
        <v/>
      </c>
      <c r="O350" s="3">
        <f>N350*0.342</f>
        <v/>
      </c>
      <c r="P350" s="3">
        <f>N350-O350</f>
        <v/>
      </c>
      <c r="Q350" s="4">
        <f>IF(N350=0,0,P350/N350)</f>
        <v/>
      </c>
    </row>
    <row r="351">
      <c r="A351" t="inlineStr">
        <is>
          <t>ORD-1349</t>
        </is>
      </c>
      <c r="B351" s="2" t="n">
        <v>45547</v>
      </c>
      <c r="C351" t="n">
        <v>2024</v>
      </c>
      <c r="D351" t="inlineStr">
        <is>
          <t>Q3</t>
        </is>
      </c>
      <c r="E351" t="inlineStr">
        <is>
          <t>Sep</t>
        </is>
      </c>
      <c r="F351" t="inlineStr">
        <is>
          <t>North</t>
        </is>
      </c>
      <c r="G351" t="inlineStr">
        <is>
          <t>Enterprise</t>
        </is>
      </c>
      <c r="H351" t="inlineStr">
        <is>
          <t>Self-serve</t>
        </is>
      </c>
      <c r="I351" t="inlineStr">
        <is>
          <t>Services</t>
        </is>
      </c>
      <c r="J351" t="inlineStr">
        <is>
          <t>Onboarding</t>
        </is>
      </c>
      <c r="K351" t="inlineStr">
        <is>
          <t>F. Shah</t>
        </is>
      </c>
      <c r="L351" t="n">
        <v>24</v>
      </c>
      <c r="M351" s="3" t="n">
        <v>646.08</v>
      </c>
      <c r="N351" s="3">
        <f>L351*M351</f>
        <v/>
      </c>
      <c r="O351" s="3">
        <f>N351*0.415</f>
        <v/>
      </c>
      <c r="P351" s="3">
        <f>N351-O351</f>
        <v/>
      </c>
      <c r="Q351" s="4">
        <f>IF(N351=0,0,P351/N351)</f>
        <v/>
      </c>
    </row>
    <row r="352">
      <c r="A352" t="inlineStr">
        <is>
          <t>ORD-1350</t>
        </is>
      </c>
      <c r="B352" s="2" t="n">
        <v>45552</v>
      </c>
      <c r="C352" t="n">
        <v>2024</v>
      </c>
      <c r="D352" t="inlineStr">
        <is>
          <t>Q3</t>
        </is>
      </c>
      <c r="E352" t="inlineStr">
        <is>
          <t>Sep</t>
        </is>
      </c>
      <c r="F352" t="inlineStr">
        <is>
          <t>West</t>
        </is>
      </c>
      <c r="G352" t="inlineStr">
        <is>
          <t>Mid-Market</t>
        </is>
      </c>
      <c r="H352" t="inlineStr">
        <is>
          <t>Partner</t>
        </is>
      </c>
      <c r="I352" t="inlineStr">
        <is>
          <t>Subscriptions</t>
        </is>
      </c>
      <c r="J352" t="inlineStr">
        <is>
          <t>Starter</t>
        </is>
      </c>
      <c r="K352" t="inlineStr">
        <is>
          <t>B. Khan</t>
        </is>
      </c>
      <c r="L352" t="n">
        <v>1</v>
      </c>
      <c r="M352" s="3" t="n">
        <v>838.01</v>
      </c>
      <c r="N352" s="3">
        <f>L352*M352</f>
        <v/>
      </c>
      <c r="O352" s="3">
        <f>N352*0.396</f>
        <v/>
      </c>
      <c r="P352" s="3">
        <f>N352-O352</f>
        <v/>
      </c>
      <c r="Q352" s="4">
        <f>IF(N352=0,0,P352/N352)</f>
        <v/>
      </c>
    </row>
    <row r="353">
      <c r="A353" t="inlineStr">
        <is>
          <t>ORD-1351</t>
        </is>
      </c>
      <c r="B353" s="2" t="n">
        <v>45310</v>
      </c>
      <c r="C353" t="n">
        <v>2024</v>
      </c>
      <c r="D353" t="inlineStr">
        <is>
          <t>Q1</t>
        </is>
      </c>
      <c r="E353" t="inlineStr">
        <is>
          <t>Jan</t>
        </is>
      </c>
      <c r="F353" t="inlineStr">
        <is>
          <t>West</t>
        </is>
      </c>
      <c r="G353" t="inlineStr">
        <is>
          <t>Enterprise</t>
        </is>
      </c>
      <c r="H353" t="inlineStr">
        <is>
          <t>Partner</t>
        </is>
      </c>
      <c r="I353" t="inlineStr">
        <is>
          <t>Services</t>
        </is>
      </c>
      <c r="J353" t="inlineStr">
        <is>
          <t>Training</t>
        </is>
      </c>
      <c r="K353" t="inlineStr">
        <is>
          <t>C. Mehta</t>
        </is>
      </c>
      <c r="L353" t="n">
        <v>15</v>
      </c>
      <c r="M353" s="3" t="n">
        <v>1007.96</v>
      </c>
      <c r="N353" s="3">
        <f>L353*M353</f>
        <v/>
      </c>
      <c r="O353" s="3">
        <f>N353*0.202</f>
        <v/>
      </c>
      <c r="P353" s="3">
        <f>N353-O353</f>
        <v/>
      </c>
      <c r="Q353" s="4">
        <f>IF(N353=0,0,P353/N353)</f>
        <v/>
      </c>
    </row>
    <row r="354">
      <c r="A354" t="inlineStr">
        <is>
          <t>ORD-1352</t>
        </is>
      </c>
      <c r="B354" s="2" t="n">
        <v>45584</v>
      </c>
      <c r="C354" t="n">
        <v>2024</v>
      </c>
      <c r="D354" t="inlineStr">
        <is>
          <t>Q4</t>
        </is>
      </c>
      <c r="E354" t="inlineStr">
        <is>
          <t>Oct</t>
        </is>
      </c>
      <c r="F354" t="inlineStr">
        <is>
          <t>North</t>
        </is>
      </c>
      <c r="G354" t="inlineStr">
        <is>
          <t>SMB</t>
        </is>
      </c>
      <c r="H354" t="inlineStr">
        <is>
          <t>Direct</t>
        </is>
      </c>
      <c r="I354" t="inlineStr">
        <is>
          <t>Add-ons</t>
        </is>
      </c>
      <c r="J354" t="inlineStr">
        <is>
          <t>Analytics</t>
        </is>
      </c>
      <c r="K354" t="inlineStr">
        <is>
          <t>E. Nair</t>
        </is>
      </c>
      <c r="L354" t="n">
        <v>33</v>
      </c>
      <c r="M354" s="3" t="n">
        <v>1781.32</v>
      </c>
      <c r="N354" s="3">
        <f>L354*M354</f>
        <v/>
      </c>
      <c r="O354" s="3">
        <f>N354*0.156</f>
        <v/>
      </c>
      <c r="P354" s="3">
        <f>N354-O354</f>
        <v/>
      </c>
      <c r="Q354" s="4">
        <f>IF(N354=0,0,P354/N354)</f>
        <v/>
      </c>
    </row>
    <row r="355">
      <c r="A355" t="inlineStr">
        <is>
          <t>ORD-1353</t>
        </is>
      </c>
      <c r="B355" s="2" t="n">
        <v>45497</v>
      </c>
      <c r="C355" t="n">
        <v>2024</v>
      </c>
      <c r="D355" t="inlineStr">
        <is>
          <t>Q3</t>
        </is>
      </c>
      <c r="E355" t="inlineStr">
        <is>
          <t>Jul</t>
        </is>
      </c>
      <c r="F355" t="inlineStr">
        <is>
          <t>East</t>
        </is>
      </c>
      <c r="G355" t="inlineStr">
        <is>
          <t>Mid-Market</t>
        </is>
      </c>
      <c r="H355" t="inlineStr">
        <is>
          <t>Direct</t>
        </is>
      </c>
      <c r="I355" t="inlineStr">
        <is>
          <t>Subscriptions</t>
        </is>
      </c>
      <c r="J355" t="inlineStr">
        <is>
          <t>Pro</t>
        </is>
      </c>
      <c r="K355" t="inlineStr">
        <is>
          <t>E. Nair</t>
        </is>
      </c>
      <c r="L355" t="n">
        <v>19</v>
      </c>
      <c r="M355" s="3" t="n">
        <v>2001.76</v>
      </c>
      <c r="N355" s="3">
        <f>L355*M355</f>
        <v/>
      </c>
      <c r="O355" s="3">
        <f>N355*0.313</f>
        <v/>
      </c>
      <c r="P355" s="3">
        <f>N355-O355</f>
        <v/>
      </c>
      <c r="Q355" s="4">
        <f>IF(N355=0,0,P355/N355)</f>
        <v/>
      </c>
    </row>
    <row r="356">
      <c r="A356" t="inlineStr">
        <is>
          <t>ORD-1354</t>
        </is>
      </c>
      <c r="B356" s="2" t="n">
        <v>45480</v>
      </c>
      <c r="C356" t="n">
        <v>2024</v>
      </c>
      <c r="D356" t="inlineStr">
        <is>
          <t>Q3</t>
        </is>
      </c>
      <c r="E356" t="inlineStr">
        <is>
          <t>Jul</t>
        </is>
      </c>
      <c r="F356" t="inlineStr">
        <is>
          <t>South</t>
        </is>
      </c>
      <c r="G356" t="inlineStr">
        <is>
          <t>Mid-Market</t>
        </is>
      </c>
      <c r="H356" t="inlineStr">
        <is>
          <t>Partner</t>
        </is>
      </c>
      <c r="I356" t="inlineStr">
        <is>
          <t>Subscriptions</t>
        </is>
      </c>
      <c r="J356" t="inlineStr">
        <is>
          <t>Pro</t>
        </is>
      </c>
      <c r="K356" t="inlineStr">
        <is>
          <t>E. Nair</t>
        </is>
      </c>
      <c r="L356" t="n">
        <v>37</v>
      </c>
      <c r="M356" s="3" t="n">
        <v>2025.92</v>
      </c>
      <c r="N356" s="3">
        <f>L356*M356</f>
        <v/>
      </c>
      <c r="O356" s="3">
        <f>N356*0.158</f>
        <v/>
      </c>
      <c r="P356" s="3">
        <f>N356-O356</f>
        <v/>
      </c>
      <c r="Q356" s="4">
        <f>IF(N356=0,0,P356/N356)</f>
        <v/>
      </c>
    </row>
    <row r="357">
      <c r="A357" t="inlineStr">
        <is>
          <t>ORD-1355</t>
        </is>
      </c>
      <c r="B357" s="2" t="n">
        <v>45392</v>
      </c>
      <c r="C357" t="n">
        <v>2024</v>
      </c>
      <c r="D357" t="inlineStr">
        <is>
          <t>Q2</t>
        </is>
      </c>
      <c r="E357" t="inlineStr">
        <is>
          <t>Apr</t>
        </is>
      </c>
      <c r="F357" t="inlineStr">
        <is>
          <t>West</t>
        </is>
      </c>
      <c r="G357" t="inlineStr">
        <is>
          <t>SMB</t>
        </is>
      </c>
      <c r="H357" t="inlineStr">
        <is>
          <t>Direct</t>
        </is>
      </c>
      <c r="I357" t="inlineStr">
        <is>
          <t>Services</t>
        </is>
      </c>
      <c r="J357" t="inlineStr">
        <is>
          <t>Onboarding</t>
        </is>
      </c>
      <c r="K357" t="inlineStr">
        <is>
          <t>E. Nair</t>
        </is>
      </c>
      <c r="L357" t="n">
        <v>10</v>
      </c>
      <c r="M357" s="3" t="n">
        <v>314.03</v>
      </c>
      <c r="N357" s="3">
        <f>L357*M357</f>
        <v/>
      </c>
      <c r="O357" s="3">
        <f>N357*0.346</f>
        <v/>
      </c>
      <c r="P357" s="3">
        <f>N357-O357</f>
        <v/>
      </c>
      <c r="Q357" s="4">
        <f>IF(N357=0,0,P357/N357)</f>
        <v/>
      </c>
    </row>
    <row r="358">
      <c r="A358" t="inlineStr">
        <is>
          <t>ORD-1356</t>
        </is>
      </c>
      <c r="B358" s="2" t="n">
        <v>45647</v>
      </c>
      <c r="C358" t="n">
        <v>2024</v>
      </c>
      <c r="D358" t="inlineStr">
        <is>
          <t>Q4</t>
        </is>
      </c>
      <c r="E358" t="inlineStr">
        <is>
          <t>Dec</t>
        </is>
      </c>
      <c r="F358" t="inlineStr">
        <is>
          <t>West</t>
        </is>
      </c>
      <c r="G358" t="inlineStr">
        <is>
          <t>Enterprise</t>
        </is>
      </c>
      <c r="H358" t="inlineStr">
        <is>
          <t>Self-serve</t>
        </is>
      </c>
      <c r="I358" t="inlineStr">
        <is>
          <t>Subscriptions</t>
        </is>
      </c>
      <c r="J358" t="inlineStr">
        <is>
          <t>Pro</t>
        </is>
      </c>
      <c r="K358" t="inlineStr">
        <is>
          <t>C. Mehta</t>
        </is>
      </c>
      <c r="L358" t="n">
        <v>1</v>
      </c>
      <c r="M358" s="3" t="n">
        <v>1969.64</v>
      </c>
      <c r="N358" s="3">
        <f>L358*M358</f>
        <v/>
      </c>
      <c r="O358" s="3">
        <f>N358*0.419</f>
        <v/>
      </c>
      <c r="P358" s="3">
        <f>N358-O358</f>
        <v/>
      </c>
      <c r="Q358" s="4">
        <f>IF(N358=0,0,P358/N358)</f>
        <v/>
      </c>
    </row>
    <row r="359">
      <c r="A359" t="inlineStr">
        <is>
          <t>ORD-1357</t>
        </is>
      </c>
      <c r="B359" s="2" t="n">
        <v>45563</v>
      </c>
      <c r="C359" t="n">
        <v>2024</v>
      </c>
      <c r="D359" t="inlineStr">
        <is>
          <t>Q3</t>
        </is>
      </c>
      <c r="E359" t="inlineStr">
        <is>
          <t>Sep</t>
        </is>
      </c>
      <c r="F359" t="inlineStr">
        <is>
          <t>South</t>
        </is>
      </c>
      <c r="G359" t="inlineStr">
        <is>
          <t>Enterprise</t>
        </is>
      </c>
      <c r="H359" t="inlineStr">
        <is>
          <t>Partner</t>
        </is>
      </c>
      <c r="I359" t="inlineStr">
        <is>
          <t>Subscriptions</t>
        </is>
      </c>
      <c r="J359" t="inlineStr">
        <is>
          <t>Pro</t>
        </is>
      </c>
      <c r="K359" t="inlineStr">
        <is>
          <t>A. Rao</t>
        </is>
      </c>
      <c r="L359" t="n">
        <v>32</v>
      </c>
      <c r="M359" s="3" t="n">
        <v>2414.61</v>
      </c>
      <c r="N359" s="3">
        <f>L359*M359</f>
        <v/>
      </c>
      <c r="O359" s="3">
        <f>N359*0.437</f>
        <v/>
      </c>
      <c r="P359" s="3">
        <f>N359-O359</f>
        <v/>
      </c>
      <c r="Q359" s="4">
        <f>IF(N359=0,0,P359/N359)</f>
        <v/>
      </c>
    </row>
    <row r="360">
      <c r="A360" t="inlineStr">
        <is>
          <t>ORD-1358</t>
        </is>
      </c>
      <c r="B360" s="2" t="n">
        <v>45410</v>
      </c>
      <c r="C360" t="n">
        <v>2024</v>
      </c>
      <c r="D360" t="inlineStr">
        <is>
          <t>Q2</t>
        </is>
      </c>
      <c r="E360" t="inlineStr">
        <is>
          <t>Apr</t>
        </is>
      </c>
      <c r="F360" t="inlineStr">
        <is>
          <t>West</t>
        </is>
      </c>
      <c r="G360" t="inlineStr">
        <is>
          <t>Enterprise</t>
        </is>
      </c>
      <c r="H360" t="inlineStr">
        <is>
          <t>Direct</t>
        </is>
      </c>
      <c r="I360" t="inlineStr">
        <is>
          <t>Services</t>
        </is>
      </c>
      <c r="J360" t="inlineStr">
        <is>
          <t>Training</t>
        </is>
      </c>
      <c r="K360" t="inlineStr">
        <is>
          <t>E. Nair</t>
        </is>
      </c>
      <c r="L360" t="n">
        <v>45</v>
      </c>
      <c r="M360" s="3" t="n">
        <v>2270.27</v>
      </c>
      <c r="N360" s="3">
        <f>L360*M360</f>
        <v/>
      </c>
      <c r="O360" s="3">
        <f>N360*0.421</f>
        <v/>
      </c>
      <c r="P360" s="3">
        <f>N360-O360</f>
        <v/>
      </c>
      <c r="Q360" s="4">
        <f>IF(N360=0,0,P360/N360)</f>
        <v/>
      </c>
    </row>
    <row r="361">
      <c r="A361" t="inlineStr">
        <is>
          <t>ORD-1359</t>
        </is>
      </c>
      <c r="B361" s="2" t="n">
        <v>45360</v>
      </c>
      <c r="C361" t="n">
        <v>2024</v>
      </c>
      <c r="D361" t="inlineStr">
        <is>
          <t>Q1</t>
        </is>
      </c>
      <c r="E361" t="inlineStr">
        <is>
          <t>Mar</t>
        </is>
      </c>
      <c r="F361" t="inlineStr">
        <is>
          <t>North</t>
        </is>
      </c>
      <c r="G361" t="inlineStr">
        <is>
          <t>Mid-Market</t>
        </is>
      </c>
      <c r="H361" t="inlineStr">
        <is>
          <t>Self-serve</t>
        </is>
      </c>
      <c r="I361" t="inlineStr">
        <is>
          <t>Services</t>
        </is>
      </c>
      <c r="J361" t="inlineStr">
        <is>
          <t>Training</t>
        </is>
      </c>
      <c r="K361" t="inlineStr">
        <is>
          <t>B. Khan</t>
        </is>
      </c>
      <c r="L361" t="n">
        <v>5</v>
      </c>
      <c r="M361" s="3" t="n">
        <v>1602.17</v>
      </c>
      <c r="N361" s="3">
        <f>L361*M361</f>
        <v/>
      </c>
      <c r="O361" s="3">
        <f>N361*0.379</f>
        <v/>
      </c>
      <c r="P361" s="3">
        <f>N361-O361</f>
        <v/>
      </c>
      <c r="Q361" s="4">
        <f>IF(N361=0,0,P361/N361)</f>
        <v/>
      </c>
    </row>
    <row r="362">
      <c r="A362" t="inlineStr">
        <is>
          <t>ORD-1360</t>
        </is>
      </c>
      <c r="B362" s="2" t="n">
        <v>45425</v>
      </c>
      <c r="C362" t="n">
        <v>2024</v>
      </c>
      <c r="D362" t="inlineStr">
        <is>
          <t>Q2</t>
        </is>
      </c>
      <c r="E362" t="inlineStr">
        <is>
          <t>May</t>
        </is>
      </c>
      <c r="F362" t="inlineStr">
        <is>
          <t>East</t>
        </is>
      </c>
      <c r="G362" t="inlineStr">
        <is>
          <t>Mid-Market</t>
        </is>
      </c>
      <c r="H362" t="inlineStr">
        <is>
          <t>Partner</t>
        </is>
      </c>
      <c r="I362" t="inlineStr">
        <is>
          <t>Add-ons</t>
        </is>
      </c>
      <c r="J362" t="inlineStr">
        <is>
          <t>Support Plus</t>
        </is>
      </c>
      <c r="K362" t="inlineStr">
        <is>
          <t>C. Mehta</t>
        </is>
      </c>
      <c r="L362" t="n">
        <v>45</v>
      </c>
      <c r="M362" s="3" t="n">
        <v>2130.18</v>
      </c>
      <c r="N362" s="3">
        <f>L362*M362</f>
        <v/>
      </c>
      <c r="O362" s="3">
        <f>N362*0.38</f>
        <v/>
      </c>
      <c r="P362" s="3">
        <f>N362-O362</f>
        <v/>
      </c>
      <c r="Q362" s="4">
        <f>IF(N362=0,0,P362/N362)</f>
        <v/>
      </c>
    </row>
    <row r="363">
      <c r="A363" t="inlineStr">
        <is>
          <t>ORD-1361</t>
        </is>
      </c>
      <c r="B363" s="2" t="n">
        <v>45395</v>
      </c>
      <c r="C363" t="n">
        <v>2024</v>
      </c>
      <c r="D363" t="inlineStr">
        <is>
          <t>Q2</t>
        </is>
      </c>
      <c r="E363" t="inlineStr">
        <is>
          <t>Apr</t>
        </is>
      </c>
      <c r="F363" t="inlineStr">
        <is>
          <t>South</t>
        </is>
      </c>
      <c r="G363" t="inlineStr">
        <is>
          <t>Mid-Market</t>
        </is>
      </c>
      <c r="H363" t="inlineStr">
        <is>
          <t>Partner</t>
        </is>
      </c>
      <c r="I363" t="inlineStr">
        <is>
          <t>Subscriptions</t>
        </is>
      </c>
      <c r="J363" t="inlineStr">
        <is>
          <t>Enterprise</t>
        </is>
      </c>
      <c r="K363" t="inlineStr">
        <is>
          <t>C. Mehta</t>
        </is>
      </c>
      <c r="L363" t="n">
        <v>7</v>
      </c>
      <c r="M363" s="3" t="n">
        <v>641.9</v>
      </c>
      <c r="N363" s="3">
        <f>L363*M363</f>
        <v/>
      </c>
      <c r="O363" s="3">
        <f>N363*0.328</f>
        <v/>
      </c>
      <c r="P363" s="3">
        <f>N363-O363</f>
        <v/>
      </c>
      <c r="Q363" s="4">
        <f>IF(N363=0,0,P363/N363)</f>
        <v/>
      </c>
    </row>
    <row r="364">
      <c r="A364" t="inlineStr">
        <is>
          <t>ORD-1362</t>
        </is>
      </c>
      <c r="B364" s="2" t="n">
        <v>45566</v>
      </c>
      <c r="C364" t="n">
        <v>2024</v>
      </c>
      <c r="D364" t="inlineStr">
        <is>
          <t>Q4</t>
        </is>
      </c>
      <c r="E364" t="inlineStr">
        <is>
          <t>Oct</t>
        </is>
      </c>
      <c r="F364" t="inlineStr">
        <is>
          <t>East</t>
        </is>
      </c>
      <c r="G364" t="inlineStr">
        <is>
          <t>SMB</t>
        </is>
      </c>
      <c r="H364" t="inlineStr">
        <is>
          <t>Direct</t>
        </is>
      </c>
      <c r="I364" t="inlineStr">
        <is>
          <t>Add-ons</t>
        </is>
      </c>
      <c r="J364" t="inlineStr">
        <is>
          <t>Analytics</t>
        </is>
      </c>
      <c r="K364" t="inlineStr">
        <is>
          <t>B. Khan</t>
        </is>
      </c>
      <c r="L364" t="n">
        <v>29</v>
      </c>
      <c r="M364" s="3" t="n">
        <v>978.28</v>
      </c>
      <c r="N364" s="3">
        <f>L364*M364</f>
        <v/>
      </c>
      <c r="O364" s="3">
        <f>N364*0.208</f>
        <v/>
      </c>
      <c r="P364" s="3">
        <f>N364-O364</f>
        <v/>
      </c>
      <c r="Q364" s="4">
        <f>IF(N364=0,0,P364/N364)</f>
        <v/>
      </c>
    </row>
    <row r="365">
      <c r="A365" t="inlineStr">
        <is>
          <t>ORD-1363</t>
        </is>
      </c>
      <c r="B365" s="2" t="n">
        <v>45447</v>
      </c>
      <c r="C365" t="n">
        <v>2024</v>
      </c>
      <c r="D365" t="inlineStr">
        <is>
          <t>Q2</t>
        </is>
      </c>
      <c r="E365" t="inlineStr">
        <is>
          <t>Jun</t>
        </is>
      </c>
      <c r="F365" t="inlineStr">
        <is>
          <t>East</t>
        </is>
      </c>
      <c r="G365" t="inlineStr">
        <is>
          <t>SMB</t>
        </is>
      </c>
      <c r="H365" t="inlineStr">
        <is>
          <t>Direct</t>
        </is>
      </c>
      <c r="I365" t="inlineStr">
        <is>
          <t>Services</t>
        </is>
      </c>
      <c r="J365" t="inlineStr">
        <is>
          <t>Onboarding</t>
        </is>
      </c>
      <c r="K365" t="inlineStr">
        <is>
          <t>F. Shah</t>
        </is>
      </c>
      <c r="L365" t="n">
        <v>14</v>
      </c>
      <c r="M365" s="3" t="n">
        <v>2139.03</v>
      </c>
      <c r="N365" s="3">
        <f>L365*M365</f>
        <v/>
      </c>
      <c r="O365" s="3">
        <f>N365*0.376</f>
        <v/>
      </c>
      <c r="P365" s="3">
        <f>N365-O365</f>
        <v/>
      </c>
      <c r="Q365" s="4">
        <f>IF(N365=0,0,P365/N365)</f>
        <v/>
      </c>
    </row>
    <row r="366">
      <c r="A366" t="inlineStr">
        <is>
          <t>ORD-1364</t>
        </is>
      </c>
      <c r="B366" s="2" t="n">
        <v>45474</v>
      </c>
      <c r="C366" t="n">
        <v>2024</v>
      </c>
      <c r="D366" t="inlineStr">
        <is>
          <t>Q3</t>
        </is>
      </c>
      <c r="E366" t="inlineStr">
        <is>
          <t>Jul</t>
        </is>
      </c>
      <c r="F366" t="inlineStr">
        <is>
          <t>East</t>
        </is>
      </c>
      <c r="G366" t="inlineStr">
        <is>
          <t>SMB</t>
        </is>
      </c>
      <c r="H366" t="inlineStr">
        <is>
          <t>Direct</t>
        </is>
      </c>
      <c r="I366" t="inlineStr">
        <is>
          <t>Add-ons</t>
        </is>
      </c>
      <c r="J366" t="inlineStr">
        <is>
          <t>Extra Seats</t>
        </is>
      </c>
      <c r="K366" t="inlineStr">
        <is>
          <t>D. Iyer</t>
        </is>
      </c>
      <c r="L366" t="n">
        <v>4</v>
      </c>
      <c r="M366" s="3" t="n">
        <v>1789.8</v>
      </c>
      <c r="N366" s="3">
        <f>L366*M366</f>
        <v/>
      </c>
      <c r="O366" s="3">
        <f>N366*0.194</f>
        <v/>
      </c>
      <c r="P366" s="3">
        <f>N366-O366</f>
        <v/>
      </c>
      <c r="Q366" s="4">
        <f>IF(N366=0,0,P366/N366)</f>
        <v/>
      </c>
    </row>
    <row r="367">
      <c r="A367" t="inlineStr">
        <is>
          <t>ORD-1365</t>
        </is>
      </c>
      <c r="B367" s="2" t="n">
        <v>45576</v>
      </c>
      <c r="C367" t="n">
        <v>2024</v>
      </c>
      <c r="D367" t="inlineStr">
        <is>
          <t>Q4</t>
        </is>
      </c>
      <c r="E367" t="inlineStr">
        <is>
          <t>Oct</t>
        </is>
      </c>
      <c r="F367" t="inlineStr">
        <is>
          <t>South</t>
        </is>
      </c>
      <c r="G367" t="inlineStr">
        <is>
          <t>SMB</t>
        </is>
      </c>
      <c r="H367" t="inlineStr">
        <is>
          <t>Direct</t>
        </is>
      </c>
      <c r="I367" t="inlineStr">
        <is>
          <t>Services</t>
        </is>
      </c>
      <c r="J367" t="inlineStr">
        <is>
          <t>Onboarding</t>
        </is>
      </c>
      <c r="K367" t="inlineStr">
        <is>
          <t>A. Rao</t>
        </is>
      </c>
      <c r="L367" t="n">
        <v>7</v>
      </c>
      <c r="M367" s="3" t="n">
        <v>1316.5</v>
      </c>
      <c r="N367" s="3">
        <f>L367*M367</f>
        <v/>
      </c>
      <c r="O367" s="3">
        <f>N367*0.201</f>
        <v/>
      </c>
      <c r="P367" s="3">
        <f>N367-O367</f>
        <v/>
      </c>
      <c r="Q367" s="4">
        <f>IF(N367=0,0,P367/N367)</f>
        <v/>
      </c>
    </row>
    <row r="368">
      <c r="A368" t="inlineStr">
        <is>
          <t>ORD-1366</t>
        </is>
      </c>
      <c r="B368" s="2" t="n">
        <v>45405</v>
      </c>
      <c r="C368" t="n">
        <v>2024</v>
      </c>
      <c r="D368" t="inlineStr">
        <is>
          <t>Q2</t>
        </is>
      </c>
      <c r="E368" t="inlineStr">
        <is>
          <t>Apr</t>
        </is>
      </c>
      <c r="F368" t="inlineStr">
        <is>
          <t>North</t>
        </is>
      </c>
      <c r="G368" t="inlineStr">
        <is>
          <t>Enterprise</t>
        </is>
      </c>
      <c r="H368" t="inlineStr">
        <is>
          <t>Self-serve</t>
        </is>
      </c>
      <c r="I368" t="inlineStr">
        <is>
          <t>Subscriptions</t>
        </is>
      </c>
      <c r="J368" t="inlineStr">
        <is>
          <t>Starter</t>
        </is>
      </c>
      <c r="K368" t="inlineStr">
        <is>
          <t>C. Mehta</t>
        </is>
      </c>
      <c r="L368" t="n">
        <v>26</v>
      </c>
      <c r="M368" s="3" t="n">
        <v>1118.93</v>
      </c>
      <c r="N368" s="3">
        <f>L368*M368</f>
        <v/>
      </c>
      <c r="O368" s="3">
        <f>N368*0.175</f>
        <v/>
      </c>
      <c r="P368" s="3">
        <f>N368-O368</f>
        <v/>
      </c>
      <c r="Q368" s="4">
        <f>IF(N368=0,0,P368/N368)</f>
        <v/>
      </c>
    </row>
    <row r="369">
      <c r="A369" t="inlineStr">
        <is>
          <t>ORD-1367</t>
        </is>
      </c>
      <c r="B369" s="2" t="n">
        <v>45330</v>
      </c>
      <c r="C369" t="n">
        <v>2024</v>
      </c>
      <c r="D369" t="inlineStr">
        <is>
          <t>Q1</t>
        </is>
      </c>
      <c r="E369" t="inlineStr">
        <is>
          <t>Feb</t>
        </is>
      </c>
      <c r="F369" t="inlineStr">
        <is>
          <t>West</t>
        </is>
      </c>
      <c r="G369" t="inlineStr">
        <is>
          <t>SMB</t>
        </is>
      </c>
      <c r="H369" t="inlineStr">
        <is>
          <t>Direct</t>
        </is>
      </c>
      <c r="I369" t="inlineStr">
        <is>
          <t>Subscriptions</t>
        </is>
      </c>
      <c r="J369" t="inlineStr">
        <is>
          <t>Starter</t>
        </is>
      </c>
      <c r="K369" t="inlineStr">
        <is>
          <t>C. Mehta</t>
        </is>
      </c>
      <c r="L369" t="n">
        <v>13</v>
      </c>
      <c r="M369" s="3" t="n">
        <v>2285.49</v>
      </c>
      <c r="N369" s="3">
        <f>L369*M369</f>
        <v/>
      </c>
      <c r="O369" s="3">
        <f>N369*0.413</f>
        <v/>
      </c>
      <c r="P369" s="3">
        <f>N369-O369</f>
        <v/>
      </c>
      <c r="Q369" s="4">
        <f>IF(N369=0,0,P369/N369)</f>
        <v/>
      </c>
    </row>
    <row r="370">
      <c r="A370" t="inlineStr">
        <is>
          <t>ORD-1368</t>
        </is>
      </c>
      <c r="B370" s="2" t="n">
        <v>45528</v>
      </c>
      <c r="C370" t="n">
        <v>2024</v>
      </c>
      <c r="D370" t="inlineStr">
        <is>
          <t>Q3</t>
        </is>
      </c>
      <c r="E370" t="inlineStr">
        <is>
          <t>Aug</t>
        </is>
      </c>
      <c r="F370" t="inlineStr">
        <is>
          <t>West</t>
        </is>
      </c>
      <c r="G370" t="inlineStr">
        <is>
          <t>Mid-Market</t>
        </is>
      </c>
      <c r="H370" t="inlineStr">
        <is>
          <t>Direct</t>
        </is>
      </c>
      <c r="I370" t="inlineStr">
        <is>
          <t>Subscriptions</t>
        </is>
      </c>
      <c r="J370" t="inlineStr">
        <is>
          <t>Starter</t>
        </is>
      </c>
      <c r="K370" t="inlineStr">
        <is>
          <t>D. Iyer</t>
        </is>
      </c>
      <c r="L370" t="n">
        <v>37</v>
      </c>
      <c r="M370" s="3" t="n">
        <v>1252.94</v>
      </c>
      <c r="N370" s="3">
        <f>L370*M370</f>
        <v/>
      </c>
      <c r="O370" s="3">
        <f>N370*0.245</f>
        <v/>
      </c>
      <c r="P370" s="3">
        <f>N370-O370</f>
        <v/>
      </c>
      <c r="Q370" s="4">
        <f>IF(N370=0,0,P370/N370)</f>
        <v/>
      </c>
    </row>
    <row r="371">
      <c r="A371" t="inlineStr">
        <is>
          <t>ORD-1369</t>
        </is>
      </c>
      <c r="B371" s="2" t="n">
        <v>45380</v>
      </c>
      <c r="C371" t="n">
        <v>2024</v>
      </c>
      <c r="D371" t="inlineStr">
        <is>
          <t>Q1</t>
        </is>
      </c>
      <c r="E371" t="inlineStr">
        <is>
          <t>Mar</t>
        </is>
      </c>
      <c r="F371" t="inlineStr">
        <is>
          <t>West</t>
        </is>
      </c>
      <c r="G371" t="inlineStr">
        <is>
          <t>SMB</t>
        </is>
      </c>
      <c r="H371" t="inlineStr">
        <is>
          <t>Direct</t>
        </is>
      </c>
      <c r="I371" t="inlineStr">
        <is>
          <t>Add-ons</t>
        </is>
      </c>
      <c r="J371" t="inlineStr">
        <is>
          <t>Analytics</t>
        </is>
      </c>
      <c r="K371" t="inlineStr">
        <is>
          <t>E. Nair</t>
        </is>
      </c>
      <c r="L371" t="n">
        <v>12</v>
      </c>
      <c r="M371" s="3" t="n">
        <v>904.96</v>
      </c>
      <c r="N371" s="3">
        <f>L371*M371</f>
        <v/>
      </c>
      <c r="O371" s="3">
        <f>N371*0.264</f>
        <v/>
      </c>
      <c r="P371" s="3">
        <f>N371-O371</f>
        <v/>
      </c>
      <c r="Q371" s="4">
        <f>IF(N371=0,0,P371/N371)</f>
        <v/>
      </c>
    </row>
    <row r="372">
      <c r="A372" t="inlineStr">
        <is>
          <t>ORD-1370</t>
        </is>
      </c>
      <c r="B372" s="2" t="n">
        <v>45417</v>
      </c>
      <c r="C372" t="n">
        <v>2024</v>
      </c>
      <c r="D372" t="inlineStr">
        <is>
          <t>Q2</t>
        </is>
      </c>
      <c r="E372" t="inlineStr">
        <is>
          <t>May</t>
        </is>
      </c>
      <c r="F372" t="inlineStr">
        <is>
          <t>West</t>
        </is>
      </c>
      <c r="G372" t="inlineStr">
        <is>
          <t>SMB</t>
        </is>
      </c>
      <c r="H372" t="inlineStr">
        <is>
          <t>Direct</t>
        </is>
      </c>
      <c r="I372" t="inlineStr">
        <is>
          <t>Services</t>
        </is>
      </c>
      <c r="J372" t="inlineStr">
        <is>
          <t>Training</t>
        </is>
      </c>
      <c r="K372" t="inlineStr">
        <is>
          <t>C. Mehta</t>
        </is>
      </c>
      <c r="L372" t="n">
        <v>32</v>
      </c>
      <c r="M372" s="3" t="n">
        <v>1206.38</v>
      </c>
      <c r="N372" s="3">
        <f>L372*M372</f>
        <v/>
      </c>
      <c r="O372" s="3">
        <f>N372*0.335</f>
        <v/>
      </c>
      <c r="P372" s="3">
        <f>N372-O372</f>
        <v/>
      </c>
      <c r="Q372" s="4">
        <f>IF(N372=0,0,P372/N372)</f>
        <v/>
      </c>
    </row>
    <row r="373">
      <c r="A373" t="inlineStr">
        <is>
          <t>ORD-1371</t>
        </is>
      </c>
      <c r="B373" s="2" t="n">
        <v>45506</v>
      </c>
      <c r="C373" t="n">
        <v>2024</v>
      </c>
      <c r="D373" t="inlineStr">
        <is>
          <t>Q3</t>
        </is>
      </c>
      <c r="E373" t="inlineStr">
        <is>
          <t>Aug</t>
        </is>
      </c>
      <c r="F373" t="inlineStr">
        <is>
          <t>North</t>
        </is>
      </c>
      <c r="G373" t="inlineStr">
        <is>
          <t>Mid-Market</t>
        </is>
      </c>
      <c r="H373" t="inlineStr">
        <is>
          <t>Self-serve</t>
        </is>
      </c>
      <c r="I373" t="inlineStr">
        <is>
          <t>Subscriptions</t>
        </is>
      </c>
      <c r="J373" t="inlineStr">
        <is>
          <t>Enterprise</t>
        </is>
      </c>
      <c r="K373" t="inlineStr">
        <is>
          <t>C. Mehta</t>
        </is>
      </c>
      <c r="L373" t="n">
        <v>34</v>
      </c>
      <c r="M373" s="3" t="n">
        <v>848.13</v>
      </c>
      <c r="N373" s="3">
        <f>L373*M373</f>
        <v/>
      </c>
      <c r="O373" s="3">
        <f>N373*0.306</f>
        <v/>
      </c>
      <c r="P373" s="3">
        <f>N373-O373</f>
        <v/>
      </c>
      <c r="Q373" s="4">
        <f>IF(N373=0,0,P373/N373)</f>
        <v/>
      </c>
    </row>
    <row r="374">
      <c r="A374" t="inlineStr">
        <is>
          <t>ORD-1372</t>
        </is>
      </c>
      <c r="B374" s="2" t="n">
        <v>45540</v>
      </c>
      <c r="C374" t="n">
        <v>2024</v>
      </c>
      <c r="D374" t="inlineStr">
        <is>
          <t>Q3</t>
        </is>
      </c>
      <c r="E374" t="inlineStr">
        <is>
          <t>Sep</t>
        </is>
      </c>
      <c r="F374" t="inlineStr">
        <is>
          <t>East</t>
        </is>
      </c>
      <c r="G374" t="inlineStr">
        <is>
          <t>SMB</t>
        </is>
      </c>
      <c r="H374" t="inlineStr">
        <is>
          <t>Direct</t>
        </is>
      </c>
      <c r="I374" t="inlineStr">
        <is>
          <t>Add-ons</t>
        </is>
      </c>
      <c r="J374" t="inlineStr">
        <is>
          <t>Extra Seats</t>
        </is>
      </c>
      <c r="K374" t="inlineStr">
        <is>
          <t>C. Mehta</t>
        </is>
      </c>
      <c r="L374" t="n">
        <v>33</v>
      </c>
      <c r="M374" s="3" t="n">
        <v>1007.53</v>
      </c>
      <c r="N374" s="3">
        <f>L374*M374</f>
        <v/>
      </c>
      <c r="O374" s="3">
        <f>N374*0.271</f>
        <v/>
      </c>
      <c r="P374" s="3">
        <f>N374-O374</f>
        <v/>
      </c>
      <c r="Q374" s="4">
        <f>IF(N374=0,0,P374/N374)</f>
        <v/>
      </c>
    </row>
    <row r="375">
      <c r="A375" t="inlineStr">
        <is>
          <t>ORD-1373</t>
        </is>
      </c>
      <c r="B375" s="2" t="n">
        <v>45307</v>
      </c>
      <c r="C375" t="n">
        <v>2024</v>
      </c>
      <c r="D375" t="inlineStr">
        <is>
          <t>Q1</t>
        </is>
      </c>
      <c r="E375" t="inlineStr">
        <is>
          <t>Jan</t>
        </is>
      </c>
      <c r="F375" t="inlineStr">
        <is>
          <t>South</t>
        </is>
      </c>
      <c r="G375" t="inlineStr">
        <is>
          <t>SMB</t>
        </is>
      </c>
      <c r="H375" t="inlineStr">
        <is>
          <t>Direct</t>
        </is>
      </c>
      <c r="I375" t="inlineStr">
        <is>
          <t>Add-ons</t>
        </is>
      </c>
      <c r="J375" t="inlineStr">
        <is>
          <t>Analytics</t>
        </is>
      </c>
      <c r="K375" t="inlineStr">
        <is>
          <t>B. Khan</t>
        </is>
      </c>
      <c r="L375" t="n">
        <v>31</v>
      </c>
      <c r="M375" s="3" t="n">
        <v>1464.75</v>
      </c>
      <c r="N375" s="3">
        <f>L375*M375</f>
        <v/>
      </c>
      <c r="O375" s="3">
        <f>N375*0.253</f>
        <v/>
      </c>
      <c r="P375" s="3">
        <f>N375-O375</f>
        <v/>
      </c>
      <c r="Q375" s="4">
        <f>IF(N375=0,0,P375/N375)</f>
        <v/>
      </c>
    </row>
    <row r="376">
      <c r="A376" t="inlineStr">
        <is>
          <t>ORD-1374</t>
        </is>
      </c>
      <c r="B376" s="2" t="n">
        <v>45428</v>
      </c>
      <c r="C376" t="n">
        <v>2024</v>
      </c>
      <c r="D376" t="inlineStr">
        <is>
          <t>Q2</t>
        </is>
      </c>
      <c r="E376" t="inlineStr">
        <is>
          <t>May</t>
        </is>
      </c>
      <c r="F376" t="inlineStr">
        <is>
          <t>South</t>
        </is>
      </c>
      <c r="G376" t="inlineStr">
        <is>
          <t>Enterprise</t>
        </is>
      </c>
      <c r="H376" t="inlineStr">
        <is>
          <t>Partner</t>
        </is>
      </c>
      <c r="I376" t="inlineStr">
        <is>
          <t>Services</t>
        </is>
      </c>
      <c r="J376" t="inlineStr">
        <is>
          <t>Onboarding</t>
        </is>
      </c>
      <c r="K376" t="inlineStr">
        <is>
          <t>C. Mehta</t>
        </is>
      </c>
      <c r="L376" t="n">
        <v>49</v>
      </c>
      <c r="M376" s="3" t="n">
        <v>2492.06</v>
      </c>
      <c r="N376" s="3">
        <f>L376*M376</f>
        <v/>
      </c>
      <c r="O376" s="3">
        <f>N376*0.169</f>
        <v/>
      </c>
      <c r="P376" s="3">
        <f>N376-O376</f>
        <v/>
      </c>
      <c r="Q376" s="4">
        <f>IF(N376=0,0,P376/N376)</f>
        <v/>
      </c>
    </row>
    <row r="377">
      <c r="A377" t="inlineStr">
        <is>
          <t>ORD-1375</t>
        </is>
      </c>
      <c r="B377" s="2" t="n">
        <v>45380</v>
      </c>
      <c r="C377" t="n">
        <v>2024</v>
      </c>
      <c r="D377" t="inlineStr">
        <is>
          <t>Q1</t>
        </is>
      </c>
      <c r="E377" t="inlineStr">
        <is>
          <t>Mar</t>
        </is>
      </c>
      <c r="F377" t="inlineStr">
        <is>
          <t>East</t>
        </is>
      </c>
      <c r="G377" t="inlineStr">
        <is>
          <t>Enterprise</t>
        </is>
      </c>
      <c r="H377" t="inlineStr">
        <is>
          <t>Direct</t>
        </is>
      </c>
      <c r="I377" t="inlineStr">
        <is>
          <t>Subscriptions</t>
        </is>
      </c>
      <c r="J377" t="inlineStr">
        <is>
          <t>Starter</t>
        </is>
      </c>
      <c r="K377" t="inlineStr">
        <is>
          <t>F. Shah</t>
        </is>
      </c>
      <c r="L377" t="n">
        <v>38</v>
      </c>
      <c r="M377" s="3" t="n">
        <v>999.61</v>
      </c>
      <c r="N377" s="3">
        <f>L377*M377</f>
        <v/>
      </c>
      <c r="O377" s="3">
        <f>N377*0.24</f>
        <v/>
      </c>
      <c r="P377" s="3">
        <f>N377-O377</f>
        <v/>
      </c>
      <c r="Q377" s="4">
        <f>IF(N377=0,0,P377/N377)</f>
        <v/>
      </c>
    </row>
    <row r="378">
      <c r="A378" t="inlineStr">
        <is>
          <t>ORD-1376</t>
        </is>
      </c>
      <c r="B378" s="2" t="n">
        <v>45582</v>
      </c>
      <c r="C378" t="n">
        <v>2024</v>
      </c>
      <c r="D378" t="inlineStr">
        <is>
          <t>Q4</t>
        </is>
      </c>
      <c r="E378" t="inlineStr">
        <is>
          <t>Oct</t>
        </is>
      </c>
      <c r="F378" t="inlineStr">
        <is>
          <t>West</t>
        </is>
      </c>
      <c r="G378" t="inlineStr">
        <is>
          <t>Enterprise</t>
        </is>
      </c>
      <c r="H378" t="inlineStr">
        <is>
          <t>Partner</t>
        </is>
      </c>
      <c r="I378" t="inlineStr">
        <is>
          <t>Services</t>
        </is>
      </c>
      <c r="J378" t="inlineStr">
        <is>
          <t>Onboarding</t>
        </is>
      </c>
      <c r="K378" t="inlineStr">
        <is>
          <t>B. Khan</t>
        </is>
      </c>
      <c r="L378" t="n">
        <v>37</v>
      </c>
      <c r="M378" s="3" t="n">
        <v>2386.41</v>
      </c>
      <c r="N378" s="3">
        <f>L378*M378</f>
        <v/>
      </c>
      <c r="O378" s="3">
        <f>N378*0.303</f>
        <v/>
      </c>
      <c r="P378" s="3">
        <f>N378-O378</f>
        <v/>
      </c>
      <c r="Q378" s="4">
        <f>IF(N378=0,0,P378/N378)</f>
        <v/>
      </c>
    </row>
    <row r="379">
      <c r="A379" t="inlineStr">
        <is>
          <t>ORD-1377</t>
        </is>
      </c>
      <c r="B379" s="2" t="n">
        <v>45338</v>
      </c>
      <c r="C379" t="n">
        <v>2024</v>
      </c>
      <c r="D379" t="inlineStr">
        <is>
          <t>Q1</t>
        </is>
      </c>
      <c r="E379" t="inlineStr">
        <is>
          <t>Feb</t>
        </is>
      </c>
      <c r="F379" t="inlineStr">
        <is>
          <t>West</t>
        </is>
      </c>
      <c r="G379" t="inlineStr">
        <is>
          <t>SMB</t>
        </is>
      </c>
      <c r="H379" t="inlineStr">
        <is>
          <t>Partner</t>
        </is>
      </c>
      <c r="I379" t="inlineStr">
        <is>
          <t>Subscriptions</t>
        </is>
      </c>
      <c r="J379" t="inlineStr">
        <is>
          <t>Starter</t>
        </is>
      </c>
      <c r="K379" t="inlineStr">
        <is>
          <t>E. Nair</t>
        </is>
      </c>
      <c r="L379" t="n">
        <v>39</v>
      </c>
      <c r="M379" s="3" t="n">
        <v>781.38</v>
      </c>
      <c r="N379" s="3">
        <f>L379*M379</f>
        <v/>
      </c>
      <c r="O379" s="3">
        <f>N379*0.39</f>
        <v/>
      </c>
      <c r="P379" s="3">
        <f>N379-O379</f>
        <v/>
      </c>
      <c r="Q379" s="4">
        <f>IF(N379=0,0,P379/N379)</f>
        <v/>
      </c>
    </row>
    <row r="380">
      <c r="A380" t="inlineStr">
        <is>
          <t>ORD-1378</t>
        </is>
      </c>
      <c r="B380" s="2" t="n">
        <v>45358</v>
      </c>
      <c r="C380" t="n">
        <v>2024</v>
      </c>
      <c r="D380" t="inlineStr">
        <is>
          <t>Q1</t>
        </is>
      </c>
      <c r="E380" t="inlineStr">
        <is>
          <t>Mar</t>
        </is>
      </c>
      <c r="F380" t="inlineStr">
        <is>
          <t>East</t>
        </is>
      </c>
      <c r="G380" t="inlineStr">
        <is>
          <t>SMB</t>
        </is>
      </c>
      <c r="H380" t="inlineStr">
        <is>
          <t>Direct</t>
        </is>
      </c>
      <c r="I380" t="inlineStr">
        <is>
          <t>Add-ons</t>
        </is>
      </c>
      <c r="J380" t="inlineStr">
        <is>
          <t>Extra Seats</t>
        </is>
      </c>
      <c r="K380" t="inlineStr">
        <is>
          <t>B. Khan</t>
        </is>
      </c>
      <c r="L380" t="n">
        <v>12</v>
      </c>
      <c r="M380" s="3" t="n">
        <v>2321.32</v>
      </c>
      <c r="N380" s="3">
        <f>L380*M380</f>
        <v/>
      </c>
      <c r="O380" s="3">
        <f>N380*0.274</f>
        <v/>
      </c>
      <c r="P380" s="3">
        <f>N380-O380</f>
        <v/>
      </c>
      <c r="Q380" s="4">
        <f>IF(N380=0,0,P380/N380)</f>
        <v/>
      </c>
    </row>
    <row r="381">
      <c r="A381" t="inlineStr">
        <is>
          <t>ORD-1379</t>
        </is>
      </c>
      <c r="B381" s="2" t="n">
        <v>45364</v>
      </c>
      <c r="C381" t="n">
        <v>2024</v>
      </c>
      <c r="D381" t="inlineStr">
        <is>
          <t>Q1</t>
        </is>
      </c>
      <c r="E381" t="inlineStr">
        <is>
          <t>Mar</t>
        </is>
      </c>
      <c r="F381" t="inlineStr">
        <is>
          <t>East</t>
        </is>
      </c>
      <c r="G381" t="inlineStr">
        <is>
          <t>Enterprise</t>
        </is>
      </c>
      <c r="H381" t="inlineStr">
        <is>
          <t>Self-serve</t>
        </is>
      </c>
      <c r="I381" t="inlineStr">
        <is>
          <t>Subscriptions</t>
        </is>
      </c>
      <c r="J381" t="inlineStr">
        <is>
          <t>Enterprise</t>
        </is>
      </c>
      <c r="K381" t="inlineStr">
        <is>
          <t>D. Iyer</t>
        </is>
      </c>
      <c r="L381" t="n">
        <v>24</v>
      </c>
      <c r="M381" s="3" t="n">
        <v>2413.23</v>
      </c>
      <c r="N381" s="3">
        <f>L381*M381</f>
        <v/>
      </c>
      <c r="O381" s="3">
        <f>N381*0.274</f>
        <v/>
      </c>
      <c r="P381" s="3">
        <f>N381-O381</f>
        <v/>
      </c>
      <c r="Q381" s="4">
        <f>IF(N381=0,0,P381/N381)</f>
        <v/>
      </c>
    </row>
    <row r="382">
      <c r="A382" t="inlineStr">
        <is>
          <t>ORD-1380</t>
        </is>
      </c>
      <c r="B382" s="2" t="n">
        <v>45464</v>
      </c>
      <c r="C382" t="n">
        <v>2024</v>
      </c>
      <c r="D382" t="inlineStr">
        <is>
          <t>Q2</t>
        </is>
      </c>
      <c r="E382" t="inlineStr">
        <is>
          <t>Jun</t>
        </is>
      </c>
      <c r="F382" t="inlineStr">
        <is>
          <t>West</t>
        </is>
      </c>
      <c r="G382" t="inlineStr">
        <is>
          <t>Enterprise</t>
        </is>
      </c>
      <c r="H382" t="inlineStr">
        <is>
          <t>Partner</t>
        </is>
      </c>
      <c r="I382" t="inlineStr">
        <is>
          <t>Add-ons</t>
        </is>
      </c>
      <c r="J382" t="inlineStr">
        <is>
          <t>Support Plus</t>
        </is>
      </c>
      <c r="K382" t="inlineStr">
        <is>
          <t>F. Shah</t>
        </is>
      </c>
      <c r="L382" t="n">
        <v>9</v>
      </c>
      <c r="M382" s="3" t="n">
        <v>2446.89</v>
      </c>
      <c r="N382" s="3">
        <f>L382*M382</f>
        <v/>
      </c>
      <c r="O382" s="3">
        <f>N382*0.355</f>
        <v/>
      </c>
      <c r="P382" s="3">
        <f>N382-O382</f>
        <v/>
      </c>
      <c r="Q382" s="4">
        <f>IF(N382=0,0,P382/N382)</f>
        <v/>
      </c>
    </row>
    <row r="383">
      <c r="A383" t="inlineStr">
        <is>
          <t>ORD-1381</t>
        </is>
      </c>
      <c r="B383" s="2" t="n">
        <v>45654</v>
      </c>
      <c r="C383" t="n">
        <v>2024</v>
      </c>
      <c r="D383" t="inlineStr">
        <is>
          <t>Q4</t>
        </is>
      </c>
      <c r="E383" t="inlineStr">
        <is>
          <t>Dec</t>
        </is>
      </c>
      <c r="F383" t="inlineStr">
        <is>
          <t>South</t>
        </is>
      </c>
      <c r="G383" t="inlineStr">
        <is>
          <t>Mid-Market</t>
        </is>
      </c>
      <c r="H383" t="inlineStr">
        <is>
          <t>Partner</t>
        </is>
      </c>
      <c r="I383" t="inlineStr">
        <is>
          <t>Services</t>
        </is>
      </c>
      <c r="J383" t="inlineStr">
        <is>
          <t>Training</t>
        </is>
      </c>
      <c r="K383" t="inlineStr">
        <is>
          <t>F. Shah</t>
        </is>
      </c>
      <c r="L383" t="n">
        <v>15</v>
      </c>
      <c r="M383" s="3" t="n">
        <v>1764.17</v>
      </c>
      <c r="N383" s="3">
        <f>L383*M383</f>
        <v/>
      </c>
      <c r="O383" s="3">
        <f>N383*0.243</f>
        <v/>
      </c>
      <c r="P383" s="3">
        <f>N383-O383</f>
        <v/>
      </c>
      <c r="Q383" s="4">
        <f>IF(N383=0,0,P383/N383)</f>
        <v/>
      </c>
    </row>
    <row r="384">
      <c r="A384" t="inlineStr">
        <is>
          <t>ORD-1382</t>
        </is>
      </c>
      <c r="B384" s="2" t="n">
        <v>45357</v>
      </c>
      <c r="C384" t="n">
        <v>2024</v>
      </c>
      <c r="D384" t="inlineStr">
        <is>
          <t>Q1</t>
        </is>
      </c>
      <c r="E384" t="inlineStr">
        <is>
          <t>Mar</t>
        </is>
      </c>
      <c r="F384" t="inlineStr">
        <is>
          <t>West</t>
        </is>
      </c>
      <c r="G384" t="inlineStr">
        <is>
          <t>Enterprise</t>
        </is>
      </c>
      <c r="H384" t="inlineStr">
        <is>
          <t>Direct</t>
        </is>
      </c>
      <c r="I384" t="inlineStr">
        <is>
          <t>Subscriptions</t>
        </is>
      </c>
      <c r="J384" t="inlineStr">
        <is>
          <t>Enterprise</t>
        </is>
      </c>
      <c r="K384" t="inlineStr">
        <is>
          <t>B. Khan</t>
        </is>
      </c>
      <c r="L384" t="n">
        <v>1</v>
      </c>
      <c r="M384" s="3" t="n">
        <v>2387.33</v>
      </c>
      <c r="N384" s="3">
        <f>L384*M384</f>
        <v/>
      </c>
      <c r="O384" s="3">
        <f>N384*0.269</f>
        <v/>
      </c>
      <c r="P384" s="3">
        <f>N384-O384</f>
        <v/>
      </c>
      <c r="Q384" s="4">
        <f>IF(N384=0,0,P384/N384)</f>
        <v/>
      </c>
    </row>
    <row r="385">
      <c r="A385" t="inlineStr">
        <is>
          <t>ORD-1383</t>
        </is>
      </c>
      <c r="B385" s="2" t="n">
        <v>45605</v>
      </c>
      <c r="C385" t="n">
        <v>2024</v>
      </c>
      <c r="D385" t="inlineStr">
        <is>
          <t>Q4</t>
        </is>
      </c>
      <c r="E385" t="inlineStr">
        <is>
          <t>Nov</t>
        </is>
      </c>
      <c r="F385" t="inlineStr">
        <is>
          <t>West</t>
        </is>
      </c>
      <c r="G385" t="inlineStr">
        <is>
          <t>SMB</t>
        </is>
      </c>
      <c r="H385" t="inlineStr">
        <is>
          <t>Partner</t>
        </is>
      </c>
      <c r="I385" t="inlineStr">
        <is>
          <t>Subscriptions</t>
        </is>
      </c>
      <c r="J385" t="inlineStr">
        <is>
          <t>Enterprise</t>
        </is>
      </c>
      <c r="K385" t="inlineStr">
        <is>
          <t>F. Shah</t>
        </is>
      </c>
      <c r="L385" t="n">
        <v>37</v>
      </c>
      <c r="M385" s="3" t="n">
        <v>529.04</v>
      </c>
      <c r="N385" s="3">
        <f>L385*M385</f>
        <v/>
      </c>
      <c r="O385" s="3">
        <f>N385*0.427</f>
        <v/>
      </c>
      <c r="P385" s="3">
        <f>N385-O385</f>
        <v/>
      </c>
      <c r="Q385" s="4">
        <f>IF(N385=0,0,P385/N385)</f>
        <v/>
      </c>
    </row>
    <row r="386">
      <c r="A386" t="inlineStr">
        <is>
          <t>ORD-1384</t>
        </is>
      </c>
      <c r="B386" s="2" t="n">
        <v>45469</v>
      </c>
      <c r="C386" t="n">
        <v>2024</v>
      </c>
      <c r="D386" t="inlineStr">
        <is>
          <t>Q2</t>
        </is>
      </c>
      <c r="E386" t="inlineStr">
        <is>
          <t>Jun</t>
        </is>
      </c>
      <c r="F386" t="inlineStr">
        <is>
          <t>North</t>
        </is>
      </c>
      <c r="G386" t="inlineStr">
        <is>
          <t>Enterprise</t>
        </is>
      </c>
      <c r="H386" t="inlineStr">
        <is>
          <t>Self-serve</t>
        </is>
      </c>
      <c r="I386" t="inlineStr">
        <is>
          <t>Add-ons</t>
        </is>
      </c>
      <c r="J386" t="inlineStr">
        <is>
          <t>Analytics</t>
        </is>
      </c>
      <c r="K386" t="inlineStr">
        <is>
          <t>F. Shah</t>
        </is>
      </c>
      <c r="L386" t="n">
        <v>41</v>
      </c>
      <c r="M386" s="3" t="n">
        <v>2247.7</v>
      </c>
      <c r="N386" s="3">
        <f>L386*M386</f>
        <v/>
      </c>
      <c r="O386" s="3">
        <f>N386*0.231</f>
        <v/>
      </c>
      <c r="P386" s="3">
        <f>N386-O386</f>
        <v/>
      </c>
      <c r="Q386" s="4">
        <f>IF(N386=0,0,P386/N386)</f>
        <v/>
      </c>
    </row>
    <row r="387">
      <c r="A387" t="inlineStr">
        <is>
          <t>ORD-1385</t>
        </is>
      </c>
      <c r="B387" s="2" t="n">
        <v>45463</v>
      </c>
      <c r="C387" t="n">
        <v>2024</v>
      </c>
      <c r="D387" t="inlineStr">
        <is>
          <t>Q2</t>
        </is>
      </c>
      <c r="E387" t="inlineStr">
        <is>
          <t>Jun</t>
        </is>
      </c>
      <c r="F387" t="inlineStr">
        <is>
          <t>North</t>
        </is>
      </c>
      <c r="G387" t="inlineStr">
        <is>
          <t>Mid-Market</t>
        </is>
      </c>
      <c r="H387" t="inlineStr">
        <is>
          <t>Partner</t>
        </is>
      </c>
      <c r="I387" t="inlineStr">
        <is>
          <t>Add-ons</t>
        </is>
      </c>
      <c r="J387" t="inlineStr">
        <is>
          <t>Analytics</t>
        </is>
      </c>
      <c r="K387" t="inlineStr">
        <is>
          <t>A. Rao</t>
        </is>
      </c>
      <c r="L387" t="n">
        <v>17</v>
      </c>
      <c r="M387" s="3" t="n">
        <v>761.3099999999999</v>
      </c>
      <c r="N387" s="3">
        <f>L387*M387</f>
        <v/>
      </c>
      <c r="O387" s="3">
        <f>N387*0.234</f>
        <v/>
      </c>
      <c r="P387" s="3">
        <f>N387-O387</f>
        <v/>
      </c>
      <c r="Q387" s="4">
        <f>IF(N387=0,0,P387/N387)</f>
        <v/>
      </c>
    </row>
    <row r="388">
      <c r="A388" t="inlineStr">
        <is>
          <t>ORD-1386</t>
        </is>
      </c>
      <c r="B388" s="2" t="n">
        <v>45316</v>
      </c>
      <c r="C388" t="n">
        <v>2024</v>
      </c>
      <c r="D388" t="inlineStr">
        <is>
          <t>Q1</t>
        </is>
      </c>
      <c r="E388" t="inlineStr">
        <is>
          <t>Jan</t>
        </is>
      </c>
      <c r="F388" t="inlineStr">
        <is>
          <t>South</t>
        </is>
      </c>
      <c r="G388" t="inlineStr">
        <is>
          <t>Mid-Market</t>
        </is>
      </c>
      <c r="H388" t="inlineStr">
        <is>
          <t>Partner</t>
        </is>
      </c>
      <c r="I388" t="inlineStr">
        <is>
          <t>Add-ons</t>
        </is>
      </c>
      <c r="J388" t="inlineStr">
        <is>
          <t>Support Plus</t>
        </is>
      </c>
      <c r="K388" t="inlineStr">
        <is>
          <t>D. Iyer</t>
        </is>
      </c>
      <c r="L388" t="n">
        <v>47</v>
      </c>
      <c r="M388" s="3" t="n">
        <v>1223.24</v>
      </c>
      <c r="N388" s="3">
        <f>L388*M388</f>
        <v/>
      </c>
      <c r="O388" s="3">
        <f>N388*0.345</f>
        <v/>
      </c>
      <c r="P388" s="3">
        <f>N388-O388</f>
        <v/>
      </c>
      <c r="Q388" s="4">
        <f>IF(N388=0,0,P388/N388)</f>
        <v/>
      </c>
    </row>
    <row r="389">
      <c r="A389" t="inlineStr">
        <is>
          <t>ORD-1387</t>
        </is>
      </c>
      <c r="B389" s="2" t="n">
        <v>45484</v>
      </c>
      <c r="C389" t="n">
        <v>2024</v>
      </c>
      <c r="D389" t="inlineStr">
        <is>
          <t>Q3</t>
        </is>
      </c>
      <c r="E389" t="inlineStr">
        <is>
          <t>Jul</t>
        </is>
      </c>
      <c r="F389" t="inlineStr">
        <is>
          <t>South</t>
        </is>
      </c>
      <c r="G389" t="inlineStr">
        <is>
          <t>SMB</t>
        </is>
      </c>
      <c r="H389" t="inlineStr">
        <is>
          <t>Partner</t>
        </is>
      </c>
      <c r="I389" t="inlineStr">
        <is>
          <t>Subscriptions</t>
        </is>
      </c>
      <c r="J389" t="inlineStr">
        <is>
          <t>Pro</t>
        </is>
      </c>
      <c r="K389" t="inlineStr">
        <is>
          <t>A. Rao</t>
        </is>
      </c>
      <c r="L389" t="n">
        <v>37</v>
      </c>
      <c r="M389" s="3" t="n">
        <v>1732.13</v>
      </c>
      <c r="N389" s="3">
        <f>L389*M389</f>
        <v/>
      </c>
      <c r="O389" s="3">
        <f>N389*0.21</f>
        <v/>
      </c>
      <c r="P389" s="3">
        <f>N389-O389</f>
        <v/>
      </c>
      <c r="Q389" s="4">
        <f>IF(N389=0,0,P389/N389)</f>
        <v/>
      </c>
    </row>
    <row r="390">
      <c r="A390" t="inlineStr">
        <is>
          <t>ORD-1388</t>
        </is>
      </c>
      <c r="B390" s="2" t="n">
        <v>45309</v>
      </c>
      <c r="C390" t="n">
        <v>2024</v>
      </c>
      <c r="D390" t="inlineStr">
        <is>
          <t>Q1</t>
        </is>
      </c>
      <c r="E390" t="inlineStr">
        <is>
          <t>Jan</t>
        </is>
      </c>
      <c r="F390" t="inlineStr">
        <is>
          <t>North</t>
        </is>
      </c>
      <c r="G390" t="inlineStr">
        <is>
          <t>SMB</t>
        </is>
      </c>
      <c r="H390" t="inlineStr">
        <is>
          <t>Partner</t>
        </is>
      </c>
      <c r="I390" t="inlineStr">
        <is>
          <t>Add-ons</t>
        </is>
      </c>
      <c r="J390" t="inlineStr">
        <is>
          <t>Analytics</t>
        </is>
      </c>
      <c r="K390" t="inlineStr">
        <is>
          <t>B. Khan</t>
        </is>
      </c>
      <c r="L390" t="n">
        <v>21</v>
      </c>
      <c r="M390" s="3" t="n">
        <v>874.48</v>
      </c>
      <c r="N390" s="3">
        <f>L390*M390</f>
        <v/>
      </c>
      <c r="O390" s="3">
        <f>N390*0.184</f>
        <v/>
      </c>
      <c r="P390" s="3">
        <f>N390-O390</f>
        <v/>
      </c>
      <c r="Q390" s="4">
        <f>IF(N390=0,0,P390/N390)</f>
        <v/>
      </c>
    </row>
    <row r="391">
      <c r="A391" t="inlineStr">
        <is>
          <t>ORD-1389</t>
        </is>
      </c>
      <c r="B391" s="2" t="n">
        <v>45374</v>
      </c>
      <c r="C391" t="n">
        <v>2024</v>
      </c>
      <c r="D391" t="inlineStr">
        <is>
          <t>Q1</t>
        </is>
      </c>
      <c r="E391" t="inlineStr">
        <is>
          <t>Mar</t>
        </is>
      </c>
      <c r="F391" t="inlineStr">
        <is>
          <t>North</t>
        </is>
      </c>
      <c r="G391" t="inlineStr">
        <is>
          <t>Mid-Market</t>
        </is>
      </c>
      <c r="H391" t="inlineStr">
        <is>
          <t>Self-serve</t>
        </is>
      </c>
      <c r="I391" t="inlineStr">
        <is>
          <t>Services</t>
        </is>
      </c>
      <c r="J391" t="inlineStr">
        <is>
          <t>Onboarding</t>
        </is>
      </c>
      <c r="K391" t="inlineStr">
        <is>
          <t>E. Nair</t>
        </is>
      </c>
      <c r="L391" t="n">
        <v>36</v>
      </c>
      <c r="M391" s="3" t="n">
        <v>2372.04</v>
      </c>
      <c r="N391" s="3">
        <f>L391*M391</f>
        <v/>
      </c>
      <c r="O391" s="3">
        <f>N391*0.182</f>
        <v/>
      </c>
      <c r="P391" s="3">
        <f>N391-O391</f>
        <v/>
      </c>
      <c r="Q391" s="4">
        <f>IF(N391=0,0,P391/N391)</f>
        <v/>
      </c>
    </row>
    <row r="392">
      <c r="A392" t="inlineStr">
        <is>
          <t>ORD-1390</t>
        </is>
      </c>
      <c r="B392" s="2" t="n">
        <v>45652</v>
      </c>
      <c r="C392" t="n">
        <v>2024</v>
      </c>
      <c r="D392" t="inlineStr">
        <is>
          <t>Q4</t>
        </is>
      </c>
      <c r="E392" t="inlineStr">
        <is>
          <t>Dec</t>
        </is>
      </c>
      <c r="F392" t="inlineStr">
        <is>
          <t>West</t>
        </is>
      </c>
      <c r="G392" t="inlineStr">
        <is>
          <t>SMB</t>
        </is>
      </c>
      <c r="H392" t="inlineStr">
        <is>
          <t>Direct</t>
        </is>
      </c>
      <c r="I392" t="inlineStr">
        <is>
          <t>Subscriptions</t>
        </is>
      </c>
      <c r="J392" t="inlineStr">
        <is>
          <t>Pro</t>
        </is>
      </c>
      <c r="K392" t="inlineStr">
        <is>
          <t>A. Rao</t>
        </is>
      </c>
      <c r="L392" t="n">
        <v>42</v>
      </c>
      <c r="M392" s="3" t="n">
        <v>662.99</v>
      </c>
      <c r="N392" s="3">
        <f>L392*M392</f>
        <v/>
      </c>
      <c r="O392" s="3">
        <f>N392*0.351</f>
        <v/>
      </c>
      <c r="P392" s="3">
        <f>N392-O392</f>
        <v/>
      </c>
      <c r="Q392" s="4">
        <f>IF(N392=0,0,P392/N392)</f>
        <v/>
      </c>
    </row>
    <row r="393">
      <c r="A393" t="inlineStr">
        <is>
          <t>ORD-1391</t>
        </is>
      </c>
      <c r="B393" s="2" t="n">
        <v>45389</v>
      </c>
      <c r="C393" t="n">
        <v>2024</v>
      </c>
      <c r="D393" t="inlineStr">
        <is>
          <t>Q2</t>
        </is>
      </c>
      <c r="E393" t="inlineStr">
        <is>
          <t>Apr</t>
        </is>
      </c>
      <c r="F393" t="inlineStr">
        <is>
          <t>East</t>
        </is>
      </c>
      <c r="G393" t="inlineStr">
        <is>
          <t>Enterprise</t>
        </is>
      </c>
      <c r="H393" t="inlineStr">
        <is>
          <t>Partner</t>
        </is>
      </c>
      <c r="I393" t="inlineStr">
        <is>
          <t>Add-ons</t>
        </is>
      </c>
      <c r="J393" t="inlineStr">
        <is>
          <t>Extra Seats</t>
        </is>
      </c>
      <c r="K393" t="inlineStr">
        <is>
          <t>C. Mehta</t>
        </is>
      </c>
      <c r="L393" t="n">
        <v>36</v>
      </c>
      <c r="M393" s="3" t="n">
        <v>1888.48</v>
      </c>
      <c r="N393" s="3">
        <f>L393*M393</f>
        <v/>
      </c>
      <c r="O393" s="3">
        <f>N393*0.379</f>
        <v/>
      </c>
      <c r="P393" s="3">
        <f>N393-O393</f>
        <v/>
      </c>
      <c r="Q393" s="4">
        <f>IF(N393=0,0,P393/N393)</f>
        <v/>
      </c>
    </row>
    <row r="394">
      <c r="A394" t="inlineStr">
        <is>
          <t>ORD-1392</t>
        </is>
      </c>
      <c r="B394" s="2" t="n">
        <v>45317</v>
      </c>
      <c r="C394" t="n">
        <v>2024</v>
      </c>
      <c r="D394" t="inlineStr">
        <is>
          <t>Q1</t>
        </is>
      </c>
      <c r="E394" t="inlineStr">
        <is>
          <t>Jan</t>
        </is>
      </c>
      <c r="F394" t="inlineStr">
        <is>
          <t>South</t>
        </is>
      </c>
      <c r="G394" t="inlineStr">
        <is>
          <t>SMB</t>
        </is>
      </c>
      <c r="H394" t="inlineStr">
        <is>
          <t>Partner</t>
        </is>
      </c>
      <c r="I394" t="inlineStr">
        <is>
          <t>Add-ons</t>
        </is>
      </c>
      <c r="J394" t="inlineStr">
        <is>
          <t>Extra Seats</t>
        </is>
      </c>
      <c r="K394" t="inlineStr">
        <is>
          <t>A. Rao</t>
        </is>
      </c>
      <c r="L394" t="n">
        <v>36</v>
      </c>
      <c r="M394" s="3" t="n">
        <v>2147.68</v>
      </c>
      <c r="N394" s="3">
        <f>L394*M394</f>
        <v/>
      </c>
      <c r="O394" s="3">
        <f>N394*0.322</f>
        <v/>
      </c>
      <c r="P394" s="3">
        <f>N394-O394</f>
        <v/>
      </c>
      <c r="Q394" s="4">
        <f>IF(N394=0,0,P394/N394)</f>
        <v/>
      </c>
    </row>
    <row r="395">
      <c r="A395" t="inlineStr">
        <is>
          <t>ORD-1393</t>
        </is>
      </c>
      <c r="B395" s="2" t="n">
        <v>45442</v>
      </c>
      <c r="C395" t="n">
        <v>2024</v>
      </c>
      <c r="D395" t="inlineStr">
        <is>
          <t>Q2</t>
        </is>
      </c>
      <c r="E395" t="inlineStr">
        <is>
          <t>May</t>
        </is>
      </c>
      <c r="F395" t="inlineStr">
        <is>
          <t>South</t>
        </is>
      </c>
      <c r="G395" t="inlineStr">
        <is>
          <t>SMB</t>
        </is>
      </c>
      <c r="H395" t="inlineStr">
        <is>
          <t>Self-serve</t>
        </is>
      </c>
      <c r="I395" t="inlineStr">
        <is>
          <t>Services</t>
        </is>
      </c>
      <c r="J395" t="inlineStr">
        <is>
          <t>Training</t>
        </is>
      </c>
      <c r="K395" t="inlineStr">
        <is>
          <t>C. Mehta</t>
        </is>
      </c>
      <c r="L395" t="n">
        <v>13</v>
      </c>
      <c r="M395" s="3" t="n">
        <v>513.37</v>
      </c>
      <c r="N395" s="3">
        <f>L395*M395</f>
        <v/>
      </c>
      <c r="O395" s="3">
        <f>N395*0.157</f>
        <v/>
      </c>
      <c r="P395" s="3">
        <f>N395-O395</f>
        <v/>
      </c>
      <c r="Q395" s="4">
        <f>IF(N395=0,0,P395/N395)</f>
        <v/>
      </c>
    </row>
    <row r="396">
      <c r="A396" t="inlineStr">
        <is>
          <t>ORD-1394</t>
        </is>
      </c>
      <c r="B396" s="2" t="n">
        <v>45534</v>
      </c>
      <c r="C396" t="n">
        <v>2024</v>
      </c>
      <c r="D396" t="inlineStr">
        <is>
          <t>Q3</t>
        </is>
      </c>
      <c r="E396" t="inlineStr">
        <is>
          <t>Aug</t>
        </is>
      </c>
      <c r="F396" t="inlineStr">
        <is>
          <t>East</t>
        </is>
      </c>
      <c r="G396" t="inlineStr">
        <is>
          <t>SMB</t>
        </is>
      </c>
      <c r="H396" t="inlineStr">
        <is>
          <t>Self-serve</t>
        </is>
      </c>
      <c r="I396" t="inlineStr">
        <is>
          <t>Subscriptions</t>
        </is>
      </c>
      <c r="J396" t="inlineStr">
        <is>
          <t>Pro</t>
        </is>
      </c>
      <c r="K396" t="inlineStr">
        <is>
          <t>E. Nair</t>
        </is>
      </c>
      <c r="L396" t="n">
        <v>26</v>
      </c>
      <c r="M396" s="3" t="n">
        <v>1336.08</v>
      </c>
      <c r="N396" s="3">
        <f>L396*M396</f>
        <v/>
      </c>
      <c r="O396" s="3">
        <f>N396*0.334</f>
        <v/>
      </c>
      <c r="P396" s="3">
        <f>N396-O396</f>
        <v/>
      </c>
      <c r="Q396" s="4">
        <f>IF(N396=0,0,P396/N396)</f>
        <v/>
      </c>
    </row>
    <row r="397">
      <c r="A397" t="inlineStr">
        <is>
          <t>ORD-1395</t>
        </is>
      </c>
      <c r="B397" s="2" t="n">
        <v>45481</v>
      </c>
      <c r="C397" t="n">
        <v>2024</v>
      </c>
      <c r="D397" t="inlineStr">
        <is>
          <t>Q3</t>
        </is>
      </c>
      <c r="E397" t="inlineStr">
        <is>
          <t>Jul</t>
        </is>
      </c>
      <c r="F397" t="inlineStr">
        <is>
          <t>East</t>
        </is>
      </c>
      <c r="G397" t="inlineStr">
        <is>
          <t>Mid-Market</t>
        </is>
      </c>
      <c r="H397" t="inlineStr">
        <is>
          <t>Partner</t>
        </is>
      </c>
      <c r="I397" t="inlineStr">
        <is>
          <t>Add-ons</t>
        </is>
      </c>
      <c r="J397" t="inlineStr">
        <is>
          <t>Support Plus</t>
        </is>
      </c>
      <c r="K397" t="inlineStr">
        <is>
          <t>C. Mehta</t>
        </is>
      </c>
      <c r="L397" t="n">
        <v>12</v>
      </c>
      <c r="M397" s="3" t="n">
        <v>1280.71</v>
      </c>
      <c r="N397" s="3">
        <f>L397*M397</f>
        <v/>
      </c>
      <c r="O397" s="3">
        <f>N397*0.382</f>
        <v/>
      </c>
      <c r="P397" s="3">
        <f>N397-O397</f>
        <v/>
      </c>
      <c r="Q397" s="4">
        <f>IF(N397=0,0,P397/N397)</f>
        <v/>
      </c>
    </row>
    <row r="398">
      <c r="A398" t="inlineStr">
        <is>
          <t>ORD-1396</t>
        </is>
      </c>
      <c r="B398" s="2" t="n">
        <v>45429</v>
      </c>
      <c r="C398" t="n">
        <v>2024</v>
      </c>
      <c r="D398" t="inlineStr">
        <is>
          <t>Q2</t>
        </is>
      </c>
      <c r="E398" t="inlineStr">
        <is>
          <t>May</t>
        </is>
      </c>
      <c r="F398" t="inlineStr">
        <is>
          <t>North</t>
        </is>
      </c>
      <c r="G398" t="inlineStr">
        <is>
          <t>SMB</t>
        </is>
      </c>
      <c r="H398" t="inlineStr">
        <is>
          <t>Self-serve</t>
        </is>
      </c>
      <c r="I398" t="inlineStr">
        <is>
          <t>Services</t>
        </is>
      </c>
      <c r="J398" t="inlineStr">
        <is>
          <t>Onboarding</t>
        </is>
      </c>
      <c r="K398" t="inlineStr">
        <is>
          <t>C. Mehta</t>
        </is>
      </c>
      <c r="L398" t="n">
        <v>10</v>
      </c>
      <c r="M398" s="3" t="n">
        <v>1954.92</v>
      </c>
      <c r="N398" s="3">
        <f>L398*M398</f>
        <v/>
      </c>
      <c r="O398" s="3">
        <f>N398*0.208</f>
        <v/>
      </c>
      <c r="P398" s="3">
        <f>N398-O398</f>
        <v/>
      </c>
      <c r="Q398" s="4">
        <f>IF(N398=0,0,P398/N398)</f>
        <v/>
      </c>
    </row>
    <row r="399">
      <c r="A399" t="inlineStr">
        <is>
          <t>ORD-1397</t>
        </is>
      </c>
      <c r="B399" s="2" t="n">
        <v>45503</v>
      </c>
      <c r="C399" t="n">
        <v>2024</v>
      </c>
      <c r="D399" t="inlineStr">
        <is>
          <t>Q3</t>
        </is>
      </c>
      <c r="E399" t="inlineStr">
        <is>
          <t>Jul</t>
        </is>
      </c>
      <c r="F399" t="inlineStr">
        <is>
          <t>West</t>
        </is>
      </c>
      <c r="G399" t="inlineStr">
        <is>
          <t>Enterprise</t>
        </is>
      </c>
      <c r="H399" t="inlineStr">
        <is>
          <t>Partner</t>
        </is>
      </c>
      <c r="I399" t="inlineStr">
        <is>
          <t>Services</t>
        </is>
      </c>
      <c r="J399" t="inlineStr">
        <is>
          <t>Onboarding</t>
        </is>
      </c>
      <c r="K399" t="inlineStr">
        <is>
          <t>E. Nair</t>
        </is>
      </c>
      <c r="L399" t="n">
        <v>36</v>
      </c>
      <c r="M399" s="3" t="n">
        <v>434.16</v>
      </c>
      <c r="N399" s="3">
        <f>L399*M399</f>
        <v/>
      </c>
      <c r="O399" s="3">
        <f>N399*0.244</f>
        <v/>
      </c>
      <c r="P399" s="3">
        <f>N399-O399</f>
        <v/>
      </c>
      <c r="Q399" s="4">
        <f>IF(N399=0,0,P399/N399)</f>
        <v/>
      </c>
    </row>
    <row r="400">
      <c r="A400" t="inlineStr">
        <is>
          <t>ORD-1398</t>
        </is>
      </c>
      <c r="B400" s="2" t="n">
        <v>45535</v>
      </c>
      <c r="C400" t="n">
        <v>2024</v>
      </c>
      <c r="D400" t="inlineStr">
        <is>
          <t>Q3</t>
        </is>
      </c>
      <c r="E400" t="inlineStr">
        <is>
          <t>Aug</t>
        </is>
      </c>
      <c r="F400" t="inlineStr">
        <is>
          <t>West</t>
        </is>
      </c>
      <c r="G400" t="inlineStr">
        <is>
          <t>Enterprise</t>
        </is>
      </c>
      <c r="H400" t="inlineStr">
        <is>
          <t>Direct</t>
        </is>
      </c>
      <c r="I400" t="inlineStr">
        <is>
          <t>Services</t>
        </is>
      </c>
      <c r="J400" t="inlineStr">
        <is>
          <t>Onboarding</t>
        </is>
      </c>
      <c r="K400" t="inlineStr">
        <is>
          <t>E. Nair</t>
        </is>
      </c>
      <c r="L400" t="n">
        <v>31</v>
      </c>
      <c r="M400" s="3" t="n">
        <v>957.47</v>
      </c>
      <c r="N400" s="3">
        <f>L400*M400</f>
        <v/>
      </c>
      <c r="O400" s="3">
        <f>N400*0.279</f>
        <v/>
      </c>
      <c r="P400" s="3">
        <f>N400-O400</f>
        <v/>
      </c>
      <c r="Q400" s="4">
        <f>IF(N400=0,0,P400/N400)</f>
        <v/>
      </c>
    </row>
    <row r="401">
      <c r="A401" t="inlineStr">
        <is>
          <t>ORD-1399</t>
        </is>
      </c>
      <c r="B401" s="2" t="n">
        <v>45556</v>
      </c>
      <c r="C401" t="n">
        <v>2024</v>
      </c>
      <c r="D401" t="inlineStr">
        <is>
          <t>Q3</t>
        </is>
      </c>
      <c r="E401" t="inlineStr">
        <is>
          <t>Sep</t>
        </is>
      </c>
      <c r="F401" t="inlineStr">
        <is>
          <t>West</t>
        </is>
      </c>
      <c r="G401" t="inlineStr">
        <is>
          <t>SMB</t>
        </is>
      </c>
      <c r="H401" t="inlineStr">
        <is>
          <t>Direct</t>
        </is>
      </c>
      <c r="I401" t="inlineStr">
        <is>
          <t>Services</t>
        </is>
      </c>
      <c r="J401" t="inlineStr">
        <is>
          <t>Onboarding</t>
        </is>
      </c>
      <c r="K401" t="inlineStr">
        <is>
          <t>B. Khan</t>
        </is>
      </c>
      <c r="L401" t="n">
        <v>8</v>
      </c>
      <c r="M401" s="3" t="n">
        <v>2388.36</v>
      </c>
      <c r="N401" s="3">
        <f>L401*M401</f>
        <v/>
      </c>
      <c r="O401" s="3">
        <f>N401*0.207</f>
        <v/>
      </c>
      <c r="P401" s="3">
        <f>N401-O401</f>
        <v/>
      </c>
      <c r="Q401" s="4">
        <f>IF(N401=0,0,P401/N401)</f>
        <v/>
      </c>
    </row>
    <row r="402">
      <c r="A402" t="inlineStr">
        <is>
          <t>ORD-1400</t>
        </is>
      </c>
      <c r="B402" s="2" t="n">
        <v>45356</v>
      </c>
      <c r="C402" t="n">
        <v>2024</v>
      </c>
      <c r="D402" t="inlineStr">
        <is>
          <t>Q1</t>
        </is>
      </c>
      <c r="E402" t="inlineStr">
        <is>
          <t>Mar</t>
        </is>
      </c>
      <c r="F402" t="inlineStr">
        <is>
          <t>West</t>
        </is>
      </c>
      <c r="G402" t="inlineStr">
        <is>
          <t>SMB</t>
        </is>
      </c>
      <c r="H402" t="inlineStr">
        <is>
          <t>Self-serve</t>
        </is>
      </c>
      <c r="I402" t="inlineStr">
        <is>
          <t>Subscriptions</t>
        </is>
      </c>
      <c r="J402" t="inlineStr">
        <is>
          <t>Pro</t>
        </is>
      </c>
      <c r="K402" t="inlineStr">
        <is>
          <t>B. Khan</t>
        </is>
      </c>
      <c r="L402" t="n">
        <v>6</v>
      </c>
      <c r="M402" s="3" t="n">
        <v>2474.22</v>
      </c>
      <c r="N402" s="3">
        <f>L402*M402</f>
        <v/>
      </c>
      <c r="O402" s="3">
        <f>N402*0.2</f>
        <v/>
      </c>
      <c r="P402" s="3">
        <f>N402-O402</f>
        <v/>
      </c>
      <c r="Q402" s="4">
        <f>IF(N402=0,0,P402/N402)</f>
        <v/>
      </c>
    </row>
    <row r="403">
      <c r="A403" t="inlineStr">
        <is>
          <t>ORD-1401</t>
        </is>
      </c>
      <c r="B403" s="2" t="n">
        <v>45424</v>
      </c>
      <c r="C403" t="n">
        <v>2024</v>
      </c>
      <c r="D403" t="inlineStr">
        <is>
          <t>Q2</t>
        </is>
      </c>
      <c r="E403" t="inlineStr">
        <is>
          <t>May</t>
        </is>
      </c>
      <c r="F403" t="inlineStr">
        <is>
          <t>West</t>
        </is>
      </c>
      <c r="G403" t="inlineStr">
        <is>
          <t>Enterprise</t>
        </is>
      </c>
      <c r="H403" t="inlineStr">
        <is>
          <t>Partner</t>
        </is>
      </c>
      <c r="I403" t="inlineStr">
        <is>
          <t>Add-ons</t>
        </is>
      </c>
      <c r="J403" t="inlineStr">
        <is>
          <t>Extra Seats</t>
        </is>
      </c>
      <c r="K403" t="inlineStr">
        <is>
          <t>C. Mehta</t>
        </is>
      </c>
      <c r="L403" t="n">
        <v>5</v>
      </c>
      <c r="M403" s="3" t="n">
        <v>491.46</v>
      </c>
      <c r="N403" s="3">
        <f>L403*M403</f>
        <v/>
      </c>
      <c r="O403" s="3">
        <f>N403*0.294</f>
        <v/>
      </c>
      <c r="P403" s="3">
        <f>N403-O403</f>
        <v/>
      </c>
      <c r="Q403" s="4">
        <f>IF(N403=0,0,P403/N403)</f>
        <v/>
      </c>
    </row>
    <row r="404">
      <c r="A404" t="inlineStr">
        <is>
          <t>ORD-1402</t>
        </is>
      </c>
      <c r="B404" s="2" t="n">
        <v>45298</v>
      </c>
      <c r="C404" t="n">
        <v>2024</v>
      </c>
      <c r="D404" t="inlineStr">
        <is>
          <t>Q1</t>
        </is>
      </c>
      <c r="E404" t="inlineStr">
        <is>
          <t>Jan</t>
        </is>
      </c>
      <c r="F404" t="inlineStr">
        <is>
          <t>South</t>
        </is>
      </c>
      <c r="G404" t="inlineStr">
        <is>
          <t>Enterprise</t>
        </is>
      </c>
      <c r="H404" t="inlineStr">
        <is>
          <t>Self-serve</t>
        </is>
      </c>
      <c r="I404" t="inlineStr">
        <is>
          <t>Services</t>
        </is>
      </c>
      <c r="J404" t="inlineStr">
        <is>
          <t>Training</t>
        </is>
      </c>
      <c r="K404" t="inlineStr">
        <is>
          <t>E. Nair</t>
        </is>
      </c>
      <c r="L404" t="n">
        <v>8</v>
      </c>
      <c r="M404" s="3" t="n">
        <v>1211.77</v>
      </c>
      <c r="N404" s="3">
        <f>L404*M404</f>
        <v/>
      </c>
      <c r="O404" s="3">
        <f>N404*0.222</f>
        <v/>
      </c>
      <c r="P404" s="3">
        <f>N404-O404</f>
        <v/>
      </c>
      <c r="Q404" s="4">
        <f>IF(N404=0,0,P404/N404)</f>
        <v/>
      </c>
    </row>
    <row r="405">
      <c r="A405" t="inlineStr">
        <is>
          <t>ORD-1403</t>
        </is>
      </c>
      <c r="B405" s="2" t="n">
        <v>45343</v>
      </c>
      <c r="C405" t="n">
        <v>2024</v>
      </c>
      <c r="D405" t="inlineStr">
        <is>
          <t>Q1</t>
        </is>
      </c>
      <c r="E405" t="inlineStr">
        <is>
          <t>Feb</t>
        </is>
      </c>
      <c r="F405" t="inlineStr">
        <is>
          <t>East</t>
        </is>
      </c>
      <c r="G405" t="inlineStr">
        <is>
          <t>Enterprise</t>
        </is>
      </c>
      <c r="H405" t="inlineStr">
        <is>
          <t>Partner</t>
        </is>
      </c>
      <c r="I405" t="inlineStr">
        <is>
          <t>Subscriptions</t>
        </is>
      </c>
      <c r="J405" t="inlineStr">
        <is>
          <t>Enterprise</t>
        </is>
      </c>
      <c r="K405" t="inlineStr">
        <is>
          <t>D. Iyer</t>
        </is>
      </c>
      <c r="L405" t="n">
        <v>50</v>
      </c>
      <c r="M405" s="3" t="n">
        <v>522.1799999999999</v>
      </c>
      <c r="N405" s="3">
        <f>L405*M405</f>
        <v/>
      </c>
      <c r="O405" s="3">
        <f>N405*0.371</f>
        <v/>
      </c>
      <c r="P405" s="3">
        <f>N405-O405</f>
        <v/>
      </c>
      <c r="Q405" s="4">
        <f>IF(N405=0,0,P405/N405)</f>
        <v/>
      </c>
    </row>
    <row r="406">
      <c r="A406" t="inlineStr">
        <is>
          <t>ORD-1404</t>
        </is>
      </c>
      <c r="B406" s="2" t="n">
        <v>45627</v>
      </c>
      <c r="C406" t="n">
        <v>2024</v>
      </c>
      <c r="D406" t="inlineStr">
        <is>
          <t>Q4</t>
        </is>
      </c>
      <c r="E406" t="inlineStr">
        <is>
          <t>Dec</t>
        </is>
      </c>
      <c r="F406" t="inlineStr">
        <is>
          <t>South</t>
        </is>
      </c>
      <c r="G406" t="inlineStr">
        <is>
          <t>Mid-Market</t>
        </is>
      </c>
      <c r="H406" t="inlineStr">
        <is>
          <t>Partner</t>
        </is>
      </c>
      <c r="I406" t="inlineStr">
        <is>
          <t>Add-ons</t>
        </is>
      </c>
      <c r="J406" t="inlineStr">
        <is>
          <t>Extra Seats</t>
        </is>
      </c>
      <c r="K406" t="inlineStr">
        <is>
          <t>B. Khan</t>
        </is>
      </c>
      <c r="L406" t="n">
        <v>39</v>
      </c>
      <c r="M406" s="3" t="n">
        <v>1340.7</v>
      </c>
      <c r="N406" s="3">
        <f>L406*M406</f>
        <v/>
      </c>
      <c r="O406" s="3">
        <f>N406*0.265</f>
        <v/>
      </c>
      <c r="P406" s="3">
        <f>N406-O406</f>
        <v/>
      </c>
      <c r="Q406" s="4">
        <f>IF(N406=0,0,P406/N406)</f>
        <v/>
      </c>
    </row>
    <row r="407">
      <c r="A407" t="inlineStr">
        <is>
          <t>ORD-1405</t>
        </is>
      </c>
      <c r="B407" s="2" t="n">
        <v>45640</v>
      </c>
      <c r="C407" t="n">
        <v>2024</v>
      </c>
      <c r="D407" t="inlineStr">
        <is>
          <t>Q4</t>
        </is>
      </c>
      <c r="E407" t="inlineStr">
        <is>
          <t>Dec</t>
        </is>
      </c>
      <c r="F407" t="inlineStr">
        <is>
          <t>East</t>
        </is>
      </c>
      <c r="G407" t="inlineStr">
        <is>
          <t>Enterprise</t>
        </is>
      </c>
      <c r="H407" t="inlineStr">
        <is>
          <t>Direct</t>
        </is>
      </c>
      <c r="I407" t="inlineStr">
        <is>
          <t>Services</t>
        </is>
      </c>
      <c r="J407" t="inlineStr">
        <is>
          <t>Training</t>
        </is>
      </c>
      <c r="K407" t="inlineStr">
        <is>
          <t>A. Rao</t>
        </is>
      </c>
      <c r="L407" t="n">
        <v>3</v>
      </c>
      <c r="M407" s="3" t="n">
        <v>1170.74</v>
      </c>
      <c r="N407" s="3">
        <f>L407*M407</f>
        <v/>
      </c>
      <c r="O407" s="3">
        <f>N407*0.226</f>
        <v/>
      </c>
      <c r="P407" s="3">
        <f>N407-O407</f>
        <v/>
      </c>
      <c r="Q407" s="4">
        <f>IF(N407=0,0,P407/N407)</f>
        <v/>
      </c>
    </row>
    <row r="408">
      <c r="A408" t="inlineStr">
        <is>
          <t>ORD-1406</t>
        </is>
      </c>
      <c r="B408" s="2" t="n">
        <v>45429</v>
      </c>
      <c r="C408" t="n">
        <v>2024</v>
      </c>
      <c r="D408" t="inlineStr">
        <is>
          <t>Q2</t>
        </is>
      </c>
      <c r="E408" t="inlineStr">
        <is>
          <t>May</t>
        </is>
      </c>
      <c r="F408" t="inlineStr">
        <is>
          <t>East</t>
        </is>
      </c>
      <c r="G408" t="inlineStr">
        <is>
          <t>Mid-Market</t>
        </is>
      </c>
      <c r="H408" t="inlineStr">
        <is>
          <t>Partner</t>
        </is>
      </c>
      <c r="I408" t="inlineStr">
        <is>
          <t>Add-ons</t>
        </is>
      </c>
      <c r="J408" t="inlineStr">
        <is>
          <t>Analytics</t>
        </is>
      </c>
      <c r="K408" t="inlineStr">
        <is>
          <t>D. Iyer</t>
        </is>
      </c>
      <c r="L408" t="n">
        <v>22</v>
      </c>
      <c r="M408" s="3" t="n">
        <v>2098.25</v>
      </c>
      <c r="N408" s="3">
        <f>L408*M408</f>
        <v/>
      </c>
      <c r="O408" s="3">
        <f>N408*0.193</f>
        <v/>
      </c>
      <c r="P408" s="3">
        <f>N408-O408</f>
        <v/>
      </c>
      <c r="Q408" s="4">
        <f>IF(N408=0,0,P408/N408)</f>
        <v/>
      </c>
    </row>
    <row r="409">
      <c r="A409" t="inlineStr">
        <is>
          <t>ORD-1407</t>
        </is>
      </c>
      <c r="B409" s="2" t="n">
        <v>45642</v>
      </c>
      <c r="C409" t="n">
        <v>2024</v>
      </c>
      <c r="D409" t="inlineStr">
        <is>
          <t>Q4</t>
        </is>
      </c>
      <c r="E409" t="inlineStr">
        <is>
          <t>Dec</t>
        </is>
      </c>
      <c r="F409" t="inlineStr">
        <is>
          <t>West</t>
        </is>
      </c>
      <c r="G409" t="inlineStr">
        <is>
          <t>Mid-Market</t>
        </is>
      </c>
      <c r="H409" t="inlineStr">
        <is>
          <t>Partner</t>
        </is>
      </c>
      <c r="I409" t="inlineStr">
        <is>
          <t>Subscriptions</t>
        </is>
      </c>
      <c r="J409" t="inlineStr">
        <is>
          <t>Starter</t>
        </is>
      </c>
      <c r="K409" t="inlineStr">
        <is>
          <t>F. Shah</t>
        </is>
      </c>
      <c r="L409" t="n">
        <v>9</v>
      </c>
      <c r="M409" s="3" t="n">
        <v>961.0599999999999</v>
      </c>
      <c r="N409" s="3">
        <f>L409*M409</f>
        <v/>
      </c>
      <c r="O409" s="3">
        <f>N409*0.325</f>
        <v/>
      </c>
      <c r="P409" s="3">
        <f>N409-O409</f>
        <v/>
      </c>
      <c r="Q409" s="4">
        <f>IF(N409=0,0,P409/N409)</f>
        <v/>
      </c>
    </row>
    <row r="410">
      <c r="A410" t="inlineStr">
        <is>
          <t>ORD-1408</t>
        </is>
      </c>
      <c r="B410" s="2" t="n">
        <v>45622</v>
      </c>
      <c r="C410" t="n">
        <v>2024</v>
      </c>
      <c r="D410" t="inlineStr">
        <is>
          <t>Q4</t>
        </is>
      </c>
      <c r="E410" t="inlineStr">
        <is>
          <t>Nov</t>
        </is>
      </c>
      <c r="F410" t="inlineStr">
        <is>
          <t>West</t>
        </is>
      </c>
      <c r="G410" t="inlineStr">
        <is>
          <t>Enterprise</t>
        </is>
      </c>
      <c r="H410" t="inlineStr">
        <is>
          <t>Partner</t>
        </is>
      </c>
      <c r="I410" t="inlineStr">
        <is>
          <t>Subscriptions</t>
        </is>
      </c>
      <c r="J410" t="inlineStr">
        <is>
          <t>Starter</t>
        </is>
      </c>
      <c r="K410" t="inlineStr">
        <is>
          <t>E. Nair</t>
        </is>
      </c>
      <c r="L410" t="n">
        <v>29</v>
      </c>
      <c r="M410" s="3" t="n">
        <v>765.0599999999999</v>
      </c>
      <c r="N410" s="3">
        <f>L410*M410</f>
        <v/>
      </c>
      <c r="O410" s="3">
        <f>N410*0.19</f>
        <v/>
      </c>
      <c r="P410" s="3">
        <f>N410-O410</f>
        <v/>
      </c>
      <c r="Q410" s="4">
        <f>IF(N410=0,0,P410/N410)</f>
        <v/>
      </c>
    </row>
    <row r="411">
      <c r="A411" t="inlineStr">
        <is>
          <t>ORD-1409</t>
        </is>
      </c>
      <c r="B411" s="2" t="n">
        <v>45320</v>
      </c>
      <c r="C411" t="n">
        <v>2024</v>
      </c>
      <c r="D411" t="inlineStr">
        <is>
          <t>Q1</t>
        </is>
      </c>
      <c r="E411" t="inlineStr">
        <is>
          <t>Jan</t>
        </is>
      </c>
      <c r="F411" t="inlineStr">
        <is>
          <t>West</t>
        </is>
      </c>
      <c r="G411" t="inlineStr">
        <is>
          <t>SMB</t>
        </is>
      </c>
      <c r="H411" t="inlineStr">
        <is>
          <t>Self-serve</t>
        </is>
      </c>
      <c r="I411" t="inlineStr">
        <is>
          <t>Services</t>
        </is>
      </c>
      <c r="J411" t="inlineStr">
        <is>
          <t>Onboarding</t>
        </is>
      </c>
      <c r="K411" t="inlineStr">
        <is>
          <t>E. Nair</t>
        </is>
      </c>
      <c r="L411" t="n">
        <v>5</v>
      </c>
      <c r="M411" s="3" t="n">
        <v>984.47</v>
      </c>
      <c r="N411" s="3">
        <f>L411*M411</f>
        <v/>
      </c>
      <c r="O411" s="3">
        <f>N411*0.441</f>
        <v/>
      </c>
      <c r="P411" s="3">
        <f>N411-O411</f>
        <v/>
      </c>
      <c r="Q411" s="4">
        <f>IF(N411=0,0,P411/N411)</f>
        <v/>
      </c>
    </row>
    <row r="412">
      <c r="A412" t="inlineStr">
        <is>
          <t>ORD-1410</t>
        </is>
      </c>
      <c r="B412" s="2" t="n">
        <v>45390</v>
      </c>
      <c r="C412" t="n">
        <v>2024</v>
      </c>
      <c r="D412" t="inlineStr">
        <is>
          <t>Q2</t>
        </is>
      </c>
      <c r="E412" t="inlineStr">
        <is>
          <t>Apr</t>
        </is>
      </c>
      <c r="F412" t="inlineStr">
        <is>
          <t>North</t>
        </is>
      </c>
      <c r="G412" t="inlineStr">
        <is>
          <t>Mid-Market</t>
        </is>
      </c>
      <c r="H412" t="inlineStr">
        <is>
          <t>Self-serve</t>
        </is>
      </c>
      <c r="I412" t="inlineStr">
        <is>
          <t>Subscriptions</t>
        </is>
      </c>
      <c r="J412" t="inlineStr">
        <is>
          <t>Starter</t>
        </is>
      </c>
      <c r="K412" t="inlineStr">
        <is>
          <t>B. Khan</t>
        </is>
      </c>
      <c r="L412" t="n">
        <v>16</v>
      </c>
      <c r="M412" s="3" t="n">
        <v>372.76</v>
      </c>
      <c r="N412" s="3">
        <f>L412*M412</f>
        <v/>
      </c>
      <c r="O412" s="3">
        <f>N412*0.368</f>
        <v/>
      </c>
      <c r="P412" s="3">
        <f>N412-O412</f>
        <v/>
      </c>
      <c r="Q412" s="4">
        <f>IF(N412=0,0,P412/N412)</f>
        <v/>
      </c>
    </row>
    <row r="413">
      <c r="A413" t="inlineStr">
        <is>
          <t>ORD-1411</t>
        </is>
      </c>
      <c r="B413" s="2" t="n">
        <v>45529</v>
      </c>
      <c r="C413" t="n">
        <v>2024</v>
      </c>
      <c r="D413" t="inlineStr">
        <is>
          <t>Q3</t>
        </is>
      </c>
      <c r="E413" t="inlineStr">
        <is>
          <t>Aug</t>
        </is>
      </c>
      <c r="F413" t="inlineStr">
        <is>
          <t>North</t>
        </is>
      </c>
      <c r="G413" t="inlineStr">
        <is>
          <t>SMB</t>
        </is>
      </c>
      <c r="H413" t="inlineStr">
        <is>
          <t>Partner</t>
        </is>
      </c>
      <c r="I413" t="inlineStr">
        <is>
          <t>Services</t>
        </is>
      </c>
      <c r="J413" t="inlineStr">
        <is>
          <t>Training</t>
        </is>
      </c>
      <c r="K413" t="inlineStr">
        <is>
          <t>D. Iyer</t>
        </is>
      </c>
      <c r="L413" t="n">
        <v>41</v>
      </c>
      <c r="M413" s="3" t="n">
        <v>2330.76</v>
      </c>
      <c r="N413" s="3">
        <f>L413*M413</f>
        <v/>
      </c>
      <c r="O413" s="3">
        <f>N413*0.272</f>
        <v/>
      </c>
      <c r="P413" s="3">
        <f>N413-O413</f>
        <v/>
      </c>
      <c r="Q413" s="4">
        <f>IF(N413=0,0,P413/N413)</f>
        <v/>
      </c>
    </row>
    <row r="414">
      <c r="A414" t="inlineStr">
        <is>
          <t>ORD-1412</t>
        </is>
      </c>
      <c r="B414" s="2" t="n">
        <v>45382</v>
      </c>
      <c r="C414" t="n">
        <v>2024</v>
      </c>
      <c r="D414" t="inlineStr">
        <is>
          <t>Q1</t>
        </is>
      </c>
      <c r="E414" t="inlineStr">
        <is>
          <t>Mar</t>
        </is>
      </c>
      <c r="F414" t="inlineStr">
        <is>
          <t>South</t>
        </is>
      </c>
      <c r="G414" t="inlineStr">
        <is>
          <t>Mid-Market</t>
        </is>
      </c>
      <c r="H414" t="inlineStr">
        <is>
          <t>Self-serve</t>
        </is>
      </c>
      <c r="I414" t="inlineStr">
        <is>
          <t>Add-ons</t>
        </is>
      </c>
      <c r="J414" t="inlineStr">
        <is>
          <t>Extra Seats</t>
        </is>
      </c>
      <c r="K414" t="inlineStr">
        <is>
          <t>F. Shah</t>
        </is>
      </c>
      <c r="L414" t="n">
        <v>36</v>
      </c>
      <c r="M414" s="3" t="n">
        <v>1069.47</v>
      </c>
      <c r="N414" s="3">
        <f>L414*M414</f>
        <v/>
      </c>
      <c r="O414" s="3">
        <f>N414*0.423</f>
        <v/>
      </c>
      <c r="P414" s="3">
        <f>N414-O414</f>
        <v/>
      </c>
      <c r="Q414" s="4">
        <f>IF(N414=0,0,P414/N414)</f>
        <v/>
      </c>
    </row>
    <row r="415">
      <c r="A415" t="inlineStr">
        <is>
          <t>ORD-1413</t>
        </is>
      </c>
      <c r="B415" s="2" t="n">
        <v>45306</v>
      </c>
      <c r="C415" t="n">
        <v>2024</v>
      </c>
      <c r="D415" t="inlineStr">
        <is>
          <t>Q1</t>
        </is>
      </c>
      <c r="E415" t="inlineStr">
        <is>
          <t>Jan</t>
        </is>
      </c>
      <c r="F415" t="inlineStr">
        <is>
          <t>South</t>
        </is>
      </c>
      <c r="G415" t="inlineStr">
        <is>
          <t>SMB</t>
        </is>
      </c>
      <c r="H415" t="inlineStr">
        <is>
          <t>Self-serve</t>
        </is>
      </c>
      <c r="I415" t="inlineStr">
        <is>
          <t>Add-ons</t>
        </is>
      </c>
      <c r="J415" t="inlineStr">
        <is>
          <t>Analytics</t>
        </is>
      </c>
      <c r="K415" t="inlineStr">
        <is>
          <t>B. Khan</t>
        </is>
      </c>
      <c r="L415" t="n">
        <v>11</v>
      </c>
      <c r="M415" s="3" t="n">
        <v>2178.41</v>
      </c>
      <c r="N415" s="3">
        <f>L415*M415</f>
        <v/>
      </c>
      <c r="O415" s="3">
        <f>N415*0.247</f>
        <v/>
      </c>
      <c r="P415" s="3">
        <f>N415-O415</f>
        <v/>
      </c>
      <c r="Q415" s="4">
        <f>IF(N415=0,0,P415/N415)</f>
        <v/>
      </c>
    </row>
    <row r="416">
      <c r="A416" t="inlineStr">
        <is>
          <t>ORD-1414</t>
        </is>
      </c>
      <c r="B416" s="2" t="n">
        <v>45429</v>
      </c>
      <c r="C416" t="n">
        <v>2024</v>
      </c>
      <c r="D416" t="inlineStr">
        <is>
          <t>Q2</t>
        </is>
      </c>
      <c r="E416" t="inlineStr">
        <is>
          <t>May</t>
        </is>
      </c>
      <c r="F416" t="inlineStr">
        <is>
          <t>North</t>
        </is>
      </c>
      <c r="G416" t="inlineStr">
        <is>
          <t>Mid-Market</t>
        </is>
      </c>
      <c r="H416" t="inlineStr">
        <is>
          <t>Direct</t>
        </is>
      </c>
      <c r="I416" t="inlineStr">
        <is>
          <t>Services</t>
        </is>
      </c>
      <c r="J416" t="inlineStr">
        <is>
          <t>Training</t>
        </is>
      </c>
      <c r="K416" t="inlineStr">
        <is>
          <t>F. Shah</t>
        </is>
      </c>
      <c r="L416" t="n">
        <v>33</v>
      </c>
      <c r="M416" s="3" t="n">
        <v>344.12</v>
      </c>
      <c r="N416" s="3">
        <f>L416*M416</f>
        <v/>
      </c>
      <c r="O416" s="3">
        <f>N416*0.398</f>
        <v/>
      </c>
      <c r="P416" s="3">
        <f>N416-O416</f>
        <v/>
      </c>
      <c r="Q416" s="4">
        <f>IF(N416=0,0,P416/N416)</f>
        <v/>
      </c>
    </row>
    <row r="417">
      <c r="A417" t="inlineStr">
        <is>
          <t>ORD-1415</t>
        </is>
      </c>
      <c r="B417" s="2" t="n">
        <v>45296</v>
      </c>
      <c r="C417" t="n">
        <v>2024</v>
      </c>
      <c r="D417" t="inlineStr">
        <is>
          <t>Q1</t>
        </is>
      </c>
      <c r="E417" t="inlineStr">
        <is>
          <t>Jan</t>
        </is>
      </c>
      <c r="F417" t="inlineStr">
        <is>
          <t>East</t>
        </is>
      </c>
      <c r="G417" t="inlineStr">
        <is>
          <t>Enterprise</t>
        </is>
      </c>
      <c r="H417" t="inlineStr">
        <is>
          <t>Self-serve</t>
        </is>
      </c>
      <c r="I417" t="inlineStr">
        <is>
          <t>Subscriptions</t>
        </is>
      </c>
      <c r="J417" t="inlineStr">
        <is>
          <t>Pro</t>
        </is>
      </c>
      <c r="K417" t="inlineStr">
        <is>
          <t>F. Shah</t>
        </is>
      </c>
      <c r="L417" t="n">
        <v>39</v>
      </c>
      <c r="M417" s="3" t="n">
        <v>2071.19</v>
      </c>
      <c r="N417" s="3">
        <f>L417*M417</f>
        <v/>
      </c>
      <c r="O417" s="3">
        <f>N417*0.367</f>
        <v/>
      </c>
      <c r="P417" s="3">
        <f>N417-O417</f>
        <v/>
      </c>
      <c r="Q417" s="4">
        <f>IF(N417=0,0,P417/N417)</f>
        <v/>
      </c>
    </row>
    <row r="418">
      <c r="A418" t="inlineStr">
        <is>
          <t>ORD-1416</t>
        </is>
      </c>
      <c r="B418" s="2" t="n">
        <v>45484</v>
      </c>
      <c r="C418" t="n">
        <v>2024</v>
      </c>
      <c r="D418" t="inlineStr">
        <is>
          <t>Q3</t>
        </is>
      </c>
      <c r="E418" t="inlineStr">
        <is>
          <t>Jul</t>
        </is>
      </c>
      <c r="F418" t="inlineStr">
        <is>
          <t>East</t>
        </is>
      </c>
      <c r="G418" t="inlineStr">
        <is>
          <t>Enterprise</t>
        </is>
      </c>
      <c r="H418" t="inlineStr">
        <is>
          <t>Self-serve</t>
        </is>
      </c>
      <c r="I418" t="inlineStr">
        <is>
          <t>Add-ons</t>
        </is>
      </c>
      <c r="J418" t="inlineStr">
        <is>
          <t>Support Plus</t>
        </is>
      </c>
      <c r="K418" t="inlineStr">
        <is>
          <t>E. Nair</t>
        </is>
      </c>
      <c r="L418" t="n">
        <v>17</v>
      </c>
      <c r="M418" s="3" t="n">
        <v>780.0599999999999</v>
      </c>
      <c r="N418" s="3">
        <f>L418*M418</f>
        <v/>
      </c>
      <c r="O418" s="3">
        <f>N418*0.331</f>
        <v/>
      </c>
      <c r="P418" s="3">
        <f>N418-O418</f>
        <v/>
      </c>
      <c r="Q418" s="4">
        <f>IF(N418=0,0,P418/N418)</f>
        <v/>
      </c>
    </row>
    <row r="419">
      <c r="A419" t="inlineStr">
        <is>
          <t>ORD-1417</t>
        </is>
      </c>
      <c r="B419" s="2" t="n">
        <v>45344</v>
      </c>
      <c r="C419" t="n">
        <v>2024</v>
      </c>
      <c r="D419" t="inlineStr">
        <is>
          <t>Q1</t>
        </is>
      </c>
      <c r="E419" t="inlineStr">
        <is>
          <t>Feb</t>
        </is>
      </c>
      <c r="F419" t="inlineStr">
        <is>
          <t>East</t>
        </is>
      </c>
      <c r="G419" t="inlineStr">
        <is>
          <t>Enterprise</t>
        </is>
      </c>
      <c r="H419" t="inlineStr">
        <is>
          <t>Self-serve</t>
        </is>
      </c>
      <c r="I419" t="inlineStr">
        <is>
          <t>Subscriptions</t>
        </is>
      </c>
      <c r="J419" t="inlineStr">
        <is>
          <t>Enterprise</t>
        </is>
      </c>
      <c r="K419" t="inlineStr">
        <is>
          <t>E. Nair</t>
        </is>
      </c>
      <c r="L419" t="n">
        <v>43</v>
      </c>
      <c r="M419" s="3" t="n">
        <v>2426.27</v>
      </c>
      <c r="N419" s="3">
        <f>L419*M419</f>
        <v/>
      </c>
      <c r="O419" s="3">
        <f>N419*0.267</f>
        <v/>
      </c>
      <c r="P419" s="3">
        <f>N419-O419</f>
        <v/>
      </c>
      <c r="Q419" s="4">
        <f>IF(N419=0,0,P419/N419)</f>
        <v/>
      </c>
    </row>
    <row r="420">
      <c r="A420" t="inlineStr">
        <is>
          <t>ORD-1418</t>
        </is>
      </c>
      <c r="B420" s="2" t="n">
        <v>45444</v>
      </c>
      <c r="C420" t="n">
        <v>2024</v>
      </c>
      <c r="D420" t="inlineStr">
        <is>
          <t>Q2</t>
        </is>
      </c>
      <c r="E420" t="inlineStr">
        <is>
          <t>Jun</t>
        </is>
      </c>
      <c r="F420" t="inlineStr">
        <is>
          <t>East</t>
        </is>
      </c>
      <c r="G420" t="inlineStr">
        <is>
          <t>Enterprise</t>
        </is>
      </c>
      <c r="H420" t="inlineStr">
        <is>
          <t>Partner</t>
        </is>
      </c>
      <c r="I420" t="inlineStr">
        <is>
          <t>Services</t>
        </is>
      </c>
      <c r="J420" t="inlineStr">
        <is>
          <t>Onboarding</t>
        </is>
      </c>
      <c r="K420" t="inlineStr">
        <is>
          <t>C. Mehta</t>
        </is>
      </c>
      <c r="L420" t="n">
        <v>31</v>
      </c>
      <c r="M420" s="3" t="n">
        <v>440.44</v>
      </c>
      <c r="N420" s="3">
        <f>L420*M420</f>
        <v/>
      </c>
      <c r="O420" s="3">
        <f>N420*0.372</f>
        <v/>
      </c>
      <c r="P420" s="3">
        <f>N420-O420</f>
        <v/>
      </c>
      <c r="Q420" s="4">
        <f>IF(N420=0,0,P420/N420)</f>
        <v/>
      </c>
    </row>
    <row r="421">
      <c r="A421" t="inlineStr">
        <is>
          <t>ORD-1419</t>
        </is>
      </c>
      <c r="B421" s="2" t="n">
        <v>45656</v>
      </c>
      <c r="C421" t="n">
        <v>2024</v>
      </c>
      <c r="D421" t="inlineStr">
        <is>
          <t>Q4</t>
        </is>
      </c>
      <c r="E421" t="inlineStr">
        <is>
          <t>Dec</t>
        </is>
      </c>
      <c r="F421" t="inlineStr">
        <is>
          <t>South</t>
        </is>
      </c>
      <c r="G421" t="inlineStr">
        <is>
          <t>SMB</t>
        </is>
      </c>
      <c r="H421" t="inlineStr">
        <is>
          <t>Self-serve</t>
        </is>
      </c>
      <c r="I421" t="inlineStr">
        <is>
          <t>Services</t>
        </is>
      </c>
      <c r="J421" t="inlineStr">
        <is>
          <t>Training</t>
        </is>
      </c>
      <c r="K421" t="inlineStr">
        <is>
          <t>D. Iyer</t>
        </is>
      </c>
      <c r="L421" t="n">
        <v>13</v>
      </c>
      <c r="M421" s="3" t="n">
        <v>629.84</v>
      </c>
      <c r="N421" s="3">
        <f>L421*M421</f>
        <v/>
      </c>
      <c r="O421" s="3">
        <f>N421*0.252</f>
        <v/>
      </c>
      <c r="P421" s="3">
        <f>N421-O421</f>
        <v/>
      </c>
      <c r="Q421" s="4">
        <f>IF(N421=0,0,P421/N421)</f>
        <v/>
      </c>
    </row>
    <row r="422">
      <c r="A422" t="inlineStr">
        <is>
          <t>ORD-1420</t>
        </is>
      </c>
      <c r="B422" s="2" t="n">
        <v>45640</v>
      </c>
      <c r="C422" t="n">
        <v>2024</v>
      </c>
      <c r="D422" t="inlineStr">
        <is>
          <t>Q4</t>
        </is>
      </c>
      <c r="E422" t="inlineStr">
        <is>
          <t>Dec</t>
        </is>
      </c>
      <c r="F422" t="inlineStr">
        <is>
          <t>East</t>
        </is>
      </c>
      <c r="G422" t="inlineStr">
        <is>
          <t>Mid-Market</t>
        </is>
      </c>
      <c r="H422" t="inlineStr">
        <is>
          <t>Partner</t>
        </is>
      </c>
      <c r="I422" t="inlineStr">
        <is>
          <t>Subscriptions</t>
        </is>
      </c>
      <c r="J422" t="inlineStr">
        <is>
          <t>Enterprise</t>
        </is>
      </c>
      <c r="K422" t="inlineStr">
        <is>
          <t>D. Iyer</t>
        </is>
      </c>
      <c r="L422" t="n">
        <v>2</v>
      </c>
      <c r="M422" s="3" t="n">
        <v>1741.88</v>
      </c>
      <c r="N422" s="3">
        <f>L422*M422</f>
        <v/>
      </c>
      <c r="O422" s="3">
        <f>N422*0.334</f>
        <v/>
      </c>
      <c r="P422" s="3">
        <f>N422-O422</f>
        <v/>
      </c>
      <c r="Q422" s="4">
        <f>IF(N422=0,0,P422/N422)</f>
        <v/>
      </c>
    </row>
    <row r="423">
      <c r="A423" t="inlineStr">
        <is>
          <t>ORD-1421</t>
        </is>
      </c>
      <c r="B423" s="2" t="n">
        <v>45310</v>
      </c>
      <c r="C423" t="n">
        <v>2024</v>
      </c>
      <c r="D423" t="inlineStr">
        <is>
          <t>Q1</t>
        </is>
      </c>
      <c r="E423" t="inlineStr">
        <is>
          <t>Jan</t>
        </is>
      </c>
      <c r="F423" t="inlineStr">
        <is>
          <t>South</t>
        </is>
      </c>
      <c r="G423" t="inlineStr">
        <is>
          <t>Enterprise</t>
        </is>
      </c>
      <c r="H423" t="inlineStr">
        <is>
          <t>Self-serve</t>
        </is>
      </c>
      <c r="I423" t="inlineStr">
        <is>
          <t>Services</t>
        </is>
      </c>
      <c r="J423" t="inlineStr">
        <is>
          <t>Onboarding</t>
        </is>
      </c>
      <c r="K423" t="inlineStr">
        <is>
          <t>F. Shah</t>
        </is>
      </c>
      <c r="L423" t="n">
        <v>22</v>
      </c>
      <c r="M423" s="3" t="n">
        <v>1898.41</v>
      </c>
      <c r="N423" s="3">
        <f>L423*M423</f>
        <v/>
      </c>
      <c r="O423" s="3">
        <f>N423*0.215</f>
        <v/>
      </c>
      <c r="P423" s="3">
        <f>N423-O423</f>
        <v/>
      </c>
      <c r="Q423" s="4">
        <f>IF(N423=0,0,P423/N423)</f>
        <v/>
      </c>
    </row>
    <row r="424">
      <c r="A424" t="inlineStr">
        <is>
          <t>ORD-1422</t>
        </is>
      </c>
      <c r="B424" s="2" t="n">
        <v>45635</v>
      </c>
      <c r="C424" t="n">
        <v>2024</v>
      </c>
      <c r="D424" t="inlineStr">
        <is>
          <t>Q4</t>
        </is>
      </c>
      <c r="E424" t="inlineStr">
        <is>
          <t>Dec</t>
        </is>
      </c>
      <c r="F424" t="inlineStr">
        <is>
          <t>South</t>
        </is>
      </c>
      <c r="G424" t="inlineStr">
        <is>
          <t>Mid-Market</t>
        </is>
      </c>
      <c r="H424" t="inlineStr">
        <is>
          <t>Direct</t>
        </is>
      </c>
      <c r="I424" t="inlineStr">
        <is>
          <t>Add-ons</t>
        </is>
      </c>
      <c r="J424" t="inlineStr">
        <is>
          <t>Extra Seats</t>
        </is>
      </c>
      <c r="K424" t="inlineStr">
        <is>
          <t>D. Iyer</t>
        </is>
      </c>
      <c r="L424" t="n">
        <v>20</v>
      </c>
      <c r="M424" s="3" t="n">
        <v>2159.92</v>
      </c>
      <c r="N424" s="3">
        <f>L424*M424</f>
        <v/>
      </c>
      <c r="O424" s="3">
        <f>N424*0.412</f>
        <v/>
      </c>
      <c r="P424" s="3">
        <f>N424-O424</f>
        <v/>
      </c>
      <c r="Q424" s="4">
        <f>IF(N424=0,0,P424/N424)</f>
        <v/>
      </c>
    </row>
    <row r="425">
      <c r="A425" t="inlineStr">
        <is>
          <t>ORD-1423</t>
        </is>
      </c>
      <c r="B425" s="2" t="n">
        <v>45424</v>
      </c>
      <c r="C425" t="n">
        <v>2024</v>
      </c>
      <c r="D425" t="inlineStr">
        <is>
          <t>Q2</t>
        </is>
      </c>
      <c r="E425" t="inlineStr">
        <is>
          <t>May</t>
        </is>
      </c>
      <c r="F425" t="inlineStr">
        <is>
          <t>North</t>
        </is>
      </c>
      <c r="G425" t="inlineStr">
        <is>
          <t>SMB</t>
        </is>
      </c>
      <c r="H425" t="inlineStr">
        <is>
          <t>Partner</t>
        </is>
      </c>
      <c r="I425" t="inlineStr">
        <is>
          <t>Services</t>
        </is>
      </c>
      <c r="J425" t="inlineStr">
        <is>
          <t>Onboarding</t>
        </is>
      </c>
      <c r="K425" t="inlineStr">
        <is>
          <t>B. Khan</t>
        </is>
      </c>
      <c r="L425" t="n">
        <v>44</v>
      </c>
      <c r="M425" s="3" t="n">
        <v>2279.1</v>
      </c>
      <c r="N425" s="3">
        <f>L425*M425</f>
        <v/>
      </c>
      <c r="O425" s="3">
        <f>N425*0.227</f>
        <v/>
      </c>
      <c r="P425" s="3">
        <f>N425-O425</f>
        <v/>
      </c>
      <c r="Q425" s="4">
        <f>IF(N425=0,0,P425/N425)</f>
        <v/>
      </c>
    </row>
    <row r="426">
      <c r="A426" t="inlineStr">
        <is>
          <t>ORD-1424</t>
        </is>
      </c>
      <c r="B426" s="2" t="n">
        <v>45449</v>
      </c>
      <c r="C426" t="n">
        <v>2024</v>
      </c>
      <c r="D426" t="inlineStr">
        <is>
          <t>Q2</t>
        </is>
      </c>
      <c r="E426" t="inlineStr">
        <is>
          <t>Jun</t>
        </is>
      </c>
      <c r="F426" t="inlineStr">
        <is>
          <t>East</t>
        </is>
      </c>
      <c r="G426" t="inlineStr">
        <is>
          <t>Mid-Market</t>
        </is>
      </c>
      <c r="H426" t="inlineStr">
        <is>
          <t>Direct</t>
        </is>
      </c>
      <c r="I426" t="inlineStr">
        <is>
          <t>Add-ons</t>
        </is>
      </c>
      <c r="J426" t="inlineStr">
        <is>
          <t>Support Plus</t>
        </is>
      </c>
      <c r="K426" t="inlineStr">
        <is>
          <t>D. Iyer</t>
        </is>
      </c>
      <c r="L426" t="n">
        <v>24</v>
      </c>
      <c r="M426" s="3" t="n">
        <v>873.23</v>
      </c>
      <c r="N426" s="3">
        <f>L426*M426</f>
        <v/>
      </c>
      <c r="O426" s="3">
        <f>N426*0.434</f>
        <v/>
      </c>
      <c r="P426" s="3">
        <f>N426-O426</f>
        <v/>
      </c>
      <c r="Q426" s="4">
        <f>IF(N426=0,0,P426/N426)</f>
        <v/>
      </c>
    </row>
    <row r="427">
      <c r="A427" t="inlineStr">
        <is>
          <t>ORD-1425</t>
        </is>
      </c>
      <c r="B427" s="2" t="n">
        <v>45616</v>
      </c>
      <c r="C427" t="n">
        <v>2024</v>
      </c>
      <c r="D427" t="inlineStr">
        <is>
          <t>Q4</t>
        </is>
      </c>
      <c r="E427" t="inlineStr">
        <is>
          <t>Nov</t>
        </is>
      </c>
      <c r="F427" t="inlineStr">
        <is>
          <t>North</t>
        </is>
      </c>
      <c r="G427" t="inlineStr">
        <is>
          <t>Enterprise</t>
        </is>
      </c>
      <c r="H427" t="inlineStr">
        <is>
          <t>Partner</t>
        </is>
      </c>
      <c r="I427" t="inlineStr">
        <is>
          <t>Services</t>
        </is>
      </c>
      <c r="J427" t="inlineStr">
        <is>
          <t>Onboarding</t>
        </is>
      </c>
      <c r="K427" t="inlineStr">
        <is>
          <t>E. Nair</t>
        </is>
      </c>
      <c r="L427" t="n">
        <v>31</v>
      </c>
      <c r="M427" s="3" t="n">
        <v>2256.74</v>
      </c>
      <c r="N427" s="3">
        <f>L427*M427</f>
        <v/>
      </c>
      <c r="O427" s="3">
        <f>N427*0.36</f>
        <v/>
      </c>
      <c r="P427" s="3">
        <f>N427-O427</f>
        <v/>
      </c>
      <c r="Q427" s="4">
        <f>IF(N427=0,0,P427/N427)</f>
        <v/>
      </c>
    </row>
    <row r="428">
      <c r="A428" t="inlineStr">
        <is>
          <t>ORD-1426</t>
        </is>
      </c>
      <c r="B428" s="2" t="n">
        <v>45319</v>
      </c>
      <c r="C428" t="n">
        <v>2024</v>
      </c>
      <c r="D428" t="inlineStr">
        <is>
          <t>Q1</t>
        </is>
      </c>
      <c r="E428" t="inlineStr">
        <is>
          <t>Jan</t>
        </is>
      </c>
      <c r="F428" t="inlineStr">
        <is>
          <t>West</t>
        </is>
      </c>
      <c r="G428" t="inlineStr">
        <is>
          <t>SMB</t>
        </is>
      </c>
      <c r="H428" t="inlineStr">
        <is>
          <t>Partner</t>
        </is>
      </c>
      <c r="I428" t="inlineStr">
        <is>
          <t>Subscriptions</t>
        </is>
      </c>
      <c r="J428" t="inlineStr">
        <is>
          <t>Starter</t>
        </is>
      </c>
      <c r="K428" t="inlineStr">
        <is>
          <t>F. Shah</t>
        </is>
      </c>
      <c r="L428" t="n">
        <v>13</v>
      </c>
      <c r="M428" s="3" t="n">
        <v>1053.87</v>
      </c>
      <c r="N428" s="3">
        <f>L428*M428</f>
        <v/>
      </c>
      <c r="O428" s="3">
        <f>N428*0.396</f>
        <v/>
      </c>
      <c r="P428" s="3">
        <f>N428-O428</f>
        <v/>
      </c>
      <c r="Q428" s="4">
        <f>IF(N428=0,0,P428/N428)</f>
        <v/>
      </c>
    </row>
    <row r="429">
      <c r="A429" t="inlineStr">
        <is>
          <t>ORD-1427</t>
        </is>
      </c>
      <c r="B429" s="2" t="n">
        <v>45333</v>
      </c>
      <c r="C429" t="n">
        <v>2024</v>
      </c>
      <c r="D429" t="inlineStr">
        <is>
          <t>Q1</t>
        </is>
      </c>
      <c r="E429" t="inlineStr">
        <is>
          <t>Feb</t>
        </is>
      </c>
      <c r="F429" t="inlineStr">
        <is>
          <t>East</t>
        </is>
      </c>
      <c r="G429" t="inlineStr">
        <is>
          <t>Enterprise</t>
        </is>
      </c>
      <c r="H429" t="inlineStr">
        <is>
          <t>Direct</t>
        </is>
      </c>
      <c r="I429" t="inlineStr">
        <is>
          <t>Add-ons</t>
        </is>
      </c>
      <c r="J429" t="inlineStr">
        <is>
          <t>Support Plus</t>
        </is>
      </c>
      <c r="K429" t="inlineStr">
        <is>
          <t>A. Rao</t>
        </is>
      </c>
      <c r="L429" t="n">
        <v>41</v>
      </c>
      <c r="M429" s="3" t="n">
        <v>2470.61</v>
      </c>
      <c r="N429" s="3">
        <f>L429*M429</f>
        <v/>
      </c>
      <c r="O429" s="3">
        <f>N429*0.314</f>
        <v/>
      </c>
      <c r="P429" s="3">
        <f>N429-O429</f>
        <v/>
      </c>
      <c r="Q429" s="4">
        <f>IF(N429=0,0,P429/N429)</f>
        <v/>
      </c>
    </row>
    <row r="430">
      <c r="A430" t="inlineStr">
        <is>
          <t>ORD-1428</t>
        </is>
      </c>
      <c r="B430" s="2" t="n">
        <v>45399</v>
      </c>
      <c r="C430" t="n">
        <v>2024</v>
      </c>
      <c r="D430" t="inlineStr">
        <is>
          <t>Q2</t>
        </is>
      </c>
      <c r="E430" t="inlineStr">
        <is>
          <t>Apr</t>
        </is>
      </c>
      <c r="F430" t="inlineStr">
        <is>
          <t>North</t>
        </is>
      </c>
      <c r="G430" t="inlineStr">
        <is>
          <t>SMB</t>
        </is>
      </c>
      <c r="H430" t="inlineStr">
        <is>
          <t>Self-serve</t>
        </is>
      </c>
      <c r="I430" t="inlineStr">
        <is>
          <t>Subscriptions</t>
        </is>
      </c>
      <c r="J430" t="inlineStr">
        <is>
          <t>Enterprise</t>
        </is>
      </c>
      <c r="K430" t="inlineStr">
        <is>
          <t>D. Iyer</t>
        </is>
      </c>
      <c r="L430" t="n">
        <v>49</v>
      </c>
      <c r="M430" s="3" t="n">
        <v>648.5599999999999</v>
      </c>
      <c r="N430" s="3">
        <f>L430*M430</f>
        <v/>
      </c>
      <c r="O430" s="3">
        <f>N430*0.26</f>
        <v/>
      </c>
      <c r="P430" s="3">
        <f>N430-O430</f>
        <v/>
      </c>
      <c r="Q430" s="4">
        <f>IF(N430=0,0,P430/N430)</f>
        <v/>
      </c>
    </row>
    <row r="431">
      <c r="A431" t="inlineStr">
        <is>
          <t>ORD-1429</t>
        </is>
      </c>
      <c r="B431" s="2" t="n">
        <v>45498</v>
      </c>
      <c r="C431" t="n">
        <v>2024</v>
      </c>
      <c r="D431" t="inlineStr">
        <is>
          <t>Q3</t>
        </is>
      </c>
      <c r="E431" t="inlineStr">
        <is>
          <t>Jul</t>
        </is>
      </c>
      <c r="F431" t="inlineStr">
        <is>
          <t>South</t>
        </is>
      </c>
      <c r="G431" t="inlineStr">
        <is>
          <t>Enterprise</t>
        </is>
      </c>
      <c r="H431" t="inlineStr">
        <is>
          <t>Partner</t>
        </is>
      </c>
      <c r="I431" t="inlineStr">
        <is>
          <t>Add-ons</t>
        </is>
      </c>
      <c r="J431" t="inlineStr">
        <is>
          <t>Support Plus</t>
        </is>
      </c>
      <c r="K431" t="inlineStr">
        <is>
          <t>A. Rao</t>
        </is>
      </c>
      <c r="L431" t="n">
        <v>25</v>
      </c>
      <c r="M431" s="3" t="n">
        <v>310.27</v>
      </c>
      <c r="N431" s="3">
        <f>L431*M431</f>
        <v/>
      </c>
      <c r="O431" s="3">
        <f>N431*0.182</f>
        <v/>
      </c>
      <c r="P431" s="3">
        <f>N431-O431</f>
        <v/>
      </c>
      <c r="Q431" s="4">
        <f>IF(N431=0,0,P431/N431)</f>
        <v/>
      </c>
    </row>
    <row r="432">
      <c r="A432" t="inlineStr">
        <is>
          <t>ORD-1430</t>
        </is>
      </c>
      <c r="B432" s="2" t="n">
        <v>45563</v>
      </c>
      <c r="C432" t="n">
        <v>2024</v>
      </c>
      <c r="D432" t="inlineStr">
        <is>
          <t>Q3</t>
        </is>
      </c>
      <c r="E432" t="inlineStr">
        <is>
          <t>Sep</t>
        </is>
      </c>
      <c r="F432" t="inlineStr">
        <is>
          <t>South</t>
        </is>
      </c>
      <c r="G432" t="inlineStr">
        <is>
          <t>SMB</t>
        </is>
      </c>
      <c r="H432" t="inlineStr">
        <is>
          <t>Self-serve</t>
        </is>
      </c>
      <c r="I432" t="inlineStr">
        <is>
          <t>Subscriptions</t>
        </is>
      </c>
      <c r="J432" t="inlineStr">
        <is>
          <t>Starter</t>
        </is>
      </c>
      <c r="K432" t="inlineStr">
        <is>
          <t>C. Mehta</t>
        </is>
      </c>
      <c r="L432" t="n">
        <v>44</v>
      </c>
      <c r="M432" s="3" t="n">
        <v>309.07</v>
      </c>
      <c r="N432" s="3">
        <f>L432*M432</f>
        <v/>
      </c>
      <c r="O432" s="3">
        <f>N432*0.356</f>
        <v/>
      </c>
      <c r="P432" s="3">
        <f>N432-O432</f>
        <v/>
      </c>
      <c r="Q432" s="4">
        <f>IF(N432=0,0,P432/N432)</f>
        <v/>
      </c>
    </row>
    <row r="433">
      <c r="A433" t="inlineStr">
        <is>
          <t>ORD-1431</t>
        </is>
      </c>
      <c r="B433" s="2" t="n">
        <v>45344</v>
      </c>
      <c r="C433" t="n">
        <v>2024</v>
      </c>
      <c r="D433" t="inlineStr">
        <is>
          <t>Q1</t>
        </is>
      </c>
      <c r="E433" t="inlineStr">
        <is>
          <t>Feb</t>
        </is>
      </c>
      <c r="F433" t="inlineStr">
        <is>
          <t>North</t>
        </is>
      </c>
      <c r="G433" t="inlineStr">
        <is>
          <t>SMB</t>
        </is>
      </c>
      <c r="H433" t="inlineStr">
        <is>
          <t>Partner</t>
        </is>
      </c>
      <c r="I433" t="inlineStr">
        <is>
          <t>Add-ons</t>
        </is>
      </c>
      <c r="J433" t="inlineStr">
        <is>
          <t>Extra Seats</t>
        </is>
      </c>
      <c r="K433" t="inlineStr">
        <is>
          <t>C. Mehta</t>
        </is>
      </c>
      <c r="L433" t="n">
        <v>38</v>
      </c>
      <c r="M433" s="3" t="n">
        <v>973.45</v>
      </c>
      <c r="N433" s="3">
        <f>L433*M433</f>
        <v/>
      </c>
      <c r="O433" s="3">
        <f>N433*0.313</f>
        <v/>
      </c>
      <c r="P433" s="3">
        <f>N433-O433</f>
        <v/>
      </c>
      <c r="Q433" s="4">
        <f>IF(N433=0,0,P433/N433)</f>
        <v/>
      </c>
    </row>
    <row r="434">
      <c r="A434" t="inlineStr">
        <is>
          <t>ORD-1432</t>
        </is>
      </c>
      <c r="B434" s="2" t="n">
        <v>45558</v>
      </c>
      <c r="C434" t="n">
        <v>2024</v>
      </c>
      <c r="D434" t="inlineStr">
        <is>
          <t>Q3</t>
        </is>
      </c>
      <c r="E434" t="inlineStr">
        <is>
          <t>Sep</t>
        </is>
      </c>
      <c r="F434" t="inlineStr">
        <is>
          <t>South</t>
        </is>
      </c>
      <c r="G434" t="inlineStr">
        <is>
          <t>Mid-Market</t>
        </is>
      </c>
      <c r="H434" t="inlineStr">
        <is>
          <t>Partner</t>
        </is>
      </c>
      <c r="I434" t="inlineStr">
        <is>
          <t>Services</t>
        </is>
      </c>
      <c r="J434" t="inlineStr">
        <is>
          <t>Training</t>
        </is>
      </c>
      <c r="K434" t="inlineStr">
        <is>
          <t>C. Mehta</t>
        </is>
      </c>
      <c r="L434" t="n">
        <v>28</v>
      </c>
      <c r="M434" s="3" t="n">
        <v>2253.54</v>
      </c>
      <c r="N434" s="3">
        <f>L434*M434</f>
        <v/>
      </c>
      <c r="O434" s="3">
        <f>N434*0.225</f>
        <v/>
      </c>
      <c r="P434" s="3">
        <f>N434-O434</f>
        <v/>
      </c>
      <c r="Q434" s="4">
        <f>IF(N434=0,0,P434/N434)</f>
        <v/>
      </c>
    </row>
    <row r="435">
      <c r="A435" t="inlineStr">
        <is>
          <t>ORD-1433</t>
        </is>
      </c>
      <c r="B435" s="2" t="n">
        <v>45376</v>
      </c>
      <c r="C435" t="n">
        <v>2024</v>
      </c>
      <c r="D435" t="inlineStr">
        <is>
          <t>Q1</t>
        </is>
      </c>
      <c r="E435" t="inlineStr">
        <is>
          <t>Mar</t>
        </is>
      </c>
      <c r="F435" t="inlineStr">
        <is>
          <t>South</t>
        </is>
      </c>
      <c r="G435" t="inlineStr">
        <is>
          <t>SMB</t>
        </is>
      </c>
      <c r="H435" t="inlineStr">
        <is>
          <t>Self-serve</t>
        </is>
      </c>
      <c r="I435" t="inlineStr">
        <is>
          <t>Add-ons</t>
        </is>
      </c>
      <c r="J435" t="inlineStr">
        <is>
          <t>Analytics</t>
        </is>
      </c>
      <c r="K435" t="inlineStr">
        <is>
          <t>A. Rao</t>
        </is>
      </c>
      <c r="L435" t="n">
        <v>15</v>
      </c>
      <c r="M435" s="3" t="n">
        <v>793.51</v>
      </c>
      <c r="N435" s="3">
        <f>L435*M435</f>
        <v/>
      </c>
      <c r="O435" s="3">
        <f>N435*0.273</f>
        <v/>
      </c>
      <c r="P435" s="3">
        <f>N435-O435</f>
        <v/>
      </c>
      <c r="Q435" s="4">
        <f>IF(N435=0,0,P435/N435)</f>
        <v/>
      </c>
    </row>
    <row r="436">
      <c r="A436" t="inlineStr">
        <is>
          <t>ORD-1434</t>
        </is>
      </c>
      <c r="B436" s="2" t="n">
        <v>45378</v>
      </c>
      <c r="C436" t="n">
        <v>2024</v>
      </c>
      <c r="D436" t="inlineStr">
        <is>
          <t>Q1</t>
        </is>
      </c>
      <c r="E436" t="inlineStr">
        <is>
          <t>Mar</t>
        </is>
      </c>
      <c r="F436" t="inlineStr">
        <is>
          <t>North</t>
        </is>
      </c>
      <c r="G436" t="inlineStr">
        <is>
          <t>Mid-Market</t>
        </is>
      </c>
      <c r="H436" t="inlineStr">
        <is>
          <t>Self-serve</t>
        </is>
      </c>
      <c r="I436" t="inlineStr">
        <is>
          <t>Subscriptions</t>
        </is>
      </c>
      <c r="J436" t="inlineStr">
        <is>
          <t>Pro</t>
        </is>
      </c>
      <c r="K436" t="inlineStr">
        <is>
          <t>C. Mehta</t>
        </is>
      </c>
      <c r="L436" t="n">
        <v>46</v>
      </c>
      <c r="M436" s="3" t="n">
        <v>1731.19</v>
      </c>
      <c r="N436" s="3">
        <f>L436*M436</f>
        <v/>
      </c>
      <c r="O436" s="3">
        <f>N436*0.219</f>
        <v/>
      </c>
      <c r="P436" s="3">
        <f>N436-O436</f>
        <v/>
      </c>
      <c r="Q436" s="4">
        <f>IF(N436=0,0,P436/N436)</f>
        <v/>
      </c>
    </row>
    <row r="437">
      <c r="A437" t="inlineStr">
        <is>
          <t>ORD-1435</t>
        </is>
      </c>
      <c r="B437" s="2" t="n">
        <v>45611</v>
      </c>
      <c r="C437" t="n">
        <v>2024</v>
      </c>
      <c r="D437" t="inlineStr">
        <is>
          <t>Q4</t>
        </is>
      </c>
      <c r="E437" t="inlineStr">
        <is>
          <t>Nov</t>
        </is>
      </c>
      <c r="F437" t="inlineStr">
        <is>
          <t>North</t>
        </is>
      </c>
      <c r="G437" t="inlineStr">
        <is>
          <t>SMB</t>
        </is>
      </c>
      <c r="H437" t="inlineStr">
        <is>
          <t>Self-serve</t>
        </is>
      </c>
      <c r="I437" t="inlineStr">
        <is>
          <t>Subscriptions</t>
        </is>
      </c>
      <c r="J437" t="inlineStr">
        <is>
          <t>Enterprise</t>
        </is>
      </c>
      <c r="K437" t="inlineStr">
        <is>
          <t>A. Rao</t>
        </is>
      </c>
      <c r="L437" t="n">
        <v>4</v>
      </c>
      <c r="M437" s="3" t="n">
        <v>1756.33</v>
      </c>
      <c r="N437" s="3">
        <f>L437*M437</f>
        <v/>
      </c>
      <c r="O437" s="3">
        <f>N437*0.325</f>
        <v/>
      </c>
      <c r="P437" s="3">
        <f>N437-O437</f>
        <v/>
      </c>
      <c r="Q437" s="4">
        <f>IF(N437=0,0,P437/N437)</f>
        <v/>
      </c>
    </row>
    <row r="438">
      <c r="A438" t="inlineStr">
        <is>
          <t>ORD-1436</t>
        </is>
      </c>
      <c r="B438" s="2" t="n">
        <v>45486</v>
      </c>
      <c r="C438" t="n">
        <v>2024</v>
      </c>
      <c r="D438" t="inlineStr">
        <is>
          <t>Q3</t>
        </is>
      </c>
      <c r="E438" t="inlineStr">
        <is>
          <t>Jul</t>
        </is>
      </c>
      <c r="F438" t="inlineStr">
        <is>
          <t>South</t>
        </is>
      </c>
      <c r="G438" t="inlineStr">
        <is>
          <t>SMB</t>
        </is>
      </c>
      <c r="H438" t="inlineStr">
        <is>
          <t>Self-serve</t>
        </is>
      </c>
      <c r="I438" t="inlineStr">
        <is>
          <t>Subscriptions</t>
        </is>
      </c>
      <c r="J438" t="inlineStr">
        <is>
          <t>Enterprise</t>
        </is>
      </c>
      <c r="K438" t="inlineStr">
        <is>
          <t>F. Shah</t>
        </is>
      </c>
      <c r="L438" t="n">
        <v>17</v>
      </c>
      <c r="M438" s="3" t="n">
        <v>1343.67</v>
      </c>
      <c r="N438" s="3">
        <f>L438*M438</f>
        <v/>
      </c>
      <c r="O438" s="3">
        <f>N438*0.261</f>
        <v/>
      </c>
      <c r="P438" s="3">
        <f>N438-O438</f>
        <v/>
      </c>
      <c r="Q438" s="4">
        <f>IF(N438=0,0,P438/N438)</f>
        <v/>
      </c>
    </row>
    <row r="439">
      <c r="A439" t="inlineStr">
        <is>
          <t>ORD-1437</t>
        </is>
      </c>
      <c r="B439" s="2" t="n">
        <v>45446</v>
      </c>
      <c r="C439" t="n">
        <v>2024</v>
      </c>
      <c r="D439" t="inlineStr">
        <is>
          <t>Q2</t>
        </is>
      </c>
      <c r="E439" t="inlineStr">
        <is>
          <t>Jun</t>
        </is>
      </c>
      <c r="F439" t="inlineStr">
        <is>
          <t>East</t>
        </is>
      </c>
      <c r="G439" t="inlineStr">
        <is>
          <t>Enterprise</t>
        </is>
      </c>
      <c r="H439" t="inlineStr">
        <is>
          <t>Self-serve</t>
        </is>
      </c>
      <c r="I439" t="inlineStr">
        <is>
          <t>Add-ons</t>
        </is>
      </c>
      <c r="J439" t="inlineStr">
        <is>
          <t>Extra Seats</t>
        </is>
      </c>
      <c r="K439" t="inlineStr">
        <is>
          <t>F. Shah</t>
        </is>
      </c>
      <c r="L439" t="n">
        <v>7</v>
      </c>
      <c r="M439" s="3" t="n">
        <v>1757.46</v>
      </c>
      <c r="N439" s="3">
        <f>L439*M439</f>
        <v/>
      </c>
      <c r="O439" s="3">
        <f>N439*0.409</f>
        <v/>
      </c>
      <c r="P439" s="3">
        <f>N439-O439</f>
        <v/>
      </c>
      <c r="Q439" s="4">
        <f>IF(N439=0,0,P439/N439)</f>
        <v/>
      </c>
    </row>
    <row r="440">
      <c r="A440" t="inlineStr">
        <is>
          <t>ORD-1438</t>
        </is>
      </c>
      <c r="B440" s="2" t="n">
        <v>45345</v>
      </c>
      <c r="C440" t="n">
        <v>2024</v>
      </c>
      <c r="D440" t="inlineStr">
        <is>
          <t>Q1</t>
        </is>
      </c>
      <c r="E440" t="inlineStr">
        <is>
          <t>Feb</t>
        </is>
      </c>
      <c r="F440" t="inlineStr">
        <is>
          <t>North</t>
        </is>
      </c>
      <c r="G440" t="inlineStr">
        <is>
          <t>Mid-Market</t>
        </is>
      </c>
      <c r="H440" t="inlineStr">
        <is>
          <t>Direct</t>
        </is>
      </c>
      <c r="I440" t="inlineStr">
        <is>
          <t>Services</t>
        </is>
      </c>
      <c r="J440" t="inlineStr">
        <is>
          <t>Onboarding</t>
        </is>
      </c>
      <c r="K440" t="inlineStr">
        <is>
          <t>E. Nair</t>
        </is>
      </c>
      <c r="L440" t="n">
        <v>19</v>
      </c>
      <c r="M440" s="3" t="n">
        <v>550.83</v>
      </c>
      <c r="N440" s="3">
        <f>L440*M440</f>
        <v/>
      </c>
      <c r="O440" s="3">
        <f>N440*0.39</f>
        <v/>
      </c>
      <c r="P440" s="3">
        <f>N440-O440</f>
        <v/>
      </c>
      <c r="Q440" s="4">
        <f>IF(N440=0,0,P440/N440)</f>
        <v/>
      </c>
    </row>
    <row r="441">
      <c r="A441" t="inlineStr">
        <is>
          <t>ORD-1439</t>
        </is>
      </c>
      <c r="B441" s="2" t="n">
        <v>45426</v>
      </c>
      <c r="C441" t="n">
        <v>2024</v>
      </c>
      <c r="D441" t="inlineStr">
        <is>
          <t>Q2</t>
        </is>
      </c>
      <c r="E441" t="inlineStr">
        <is>
          <t>May</t>
        </is>
      </c>
      <c r="F441" t="inlineStr">
        <is>
          <t>East</t>
        </is>
      </c>
      <c r="G441" t="inlineStr">
        <is>
          <t>SMB</t>
        </is>
      </c>
      <c r="H441" t="inlineStr">
        <is>
          <t>Direct</t>
        </is>
      </c>
      <c r="I441" t="inlineStr">
        <is>
          <t>Services</t>
        </is>
      </c>
      <c r="J441" t="inlineStr">
        <is>
          <t>Onboarding</t>
        </is>
      </c>
      <c r="K441" t="inlineStr">
        <is>
          <t>E. Nair</t>
        </is>
      </c>
      <c r="L441" t="n">
        <v>23</v>
      </c>
      <c r="M441" s="3" t="n">
        <v>1847.56</v>
      </c>
      <c r="N441" s="3">
        <f>L441*M441</f>
        <v/>
      </c>
      <c r="O441" s="3">
        <f>N441*0.301</f>
        <v/>
      </c>
      <c r="P441" s="3">
        <f>N441-O441</f>
        <v/>
      </c>
      <c r="Q441" s="4">
        <f>IF(N441=0,0,P441/N441)</f>
        <v/>
      </c>
    </row>
    <row r="442">
      <c r="A442" t="inlineStr">
        <is>
          <t>ORD-1440</t>
        </is>
      </c>
      <c r="B442" s="2" t="n">
        <v>45398</v>
      </c>
      <c r="C442" t="n">
        <v>2024</v>
      </c>
      <c r="D442" t="inlineStr">
        <is>
          <t>Q2</t>
        </is>
      </c>
      <c r="E442" t="inlineStr">
        <is>
          <t>Apr</t>
        </is>
      </c>
      <c r="F442" t="inlineStr">
        <is>
          <t>North</t>
        </is>
      </c>
      <c r="G442" t="inlineStr">
        <is>
          <t>Enterprise</t>
        </is>
      </c>
      <c r="H442" t="inlineStr">
        <is>
          <t>Direct</t>
        </is>
      </c>
      <c r="I442" t="inlineStr">
        <is>
          <t>Services</t>
        </is>
      </c>
      <c r="J442" t="inlineStr">
        <is>
          <t>Training</t>
        </is>
      </c>
      <c r="K442" t="inlineStr">
        <is>
          <t>A. Rao</t>
        </is>
      </c>
      <c r="L442" t="n">
        <v>22</v>
      </c>
      <c r="M442" s="3" t="n">
        <v>815.91</v>
      </c>
      <c r="N442" s="3">
        <f>L442*M442</f>
        <v/>
      </c>
      <c r="O442" s="3">
        <f>N442*0.199</f>
        <v/>
      </c>
      <c r="P442" s="3">
        <f>N442-O442</f>
        <v/>
      </c>
      <c r="Q442" s="4">
        <f>IF(N442=0,0,P442/N442)</f>
        <v/>
      </c>
    </row>
    <row r="443">
      <c r="A443" t="inlineStr">
        <is>
          <t>ORD-1441</t>
        </is>
      </c>
      <c r="B443" s="2" t="n">
        <v>45634</v>
      </c>
      <c r="C443" t="n">
        <v>2024</v>
      </c>
      <c r="D443" t="inlineStr">
        <is>
          <t>Q4</t>
        </is>
      </c>
      <c r="E443" t="inlineStr">
        <is>
          <t>Dec</t>
        </is>
      </c>
      <c r="F443" t="inlineStr">
        <is>
          <t>North</t>
        </is>
      </c>
      <c r="G443" t="inlineStr">
        <is>
          <t>Enterprise</t>
        </is>
      </c>
      <c r="H443" t="inlineStr">
        <is>
          <t>Self-serve</t>
        </is>
      </c>
      <c r="I443" t="inlineStr">
        <is>
          <t>Add-ons</t>
        </is>
      </c>
      <c r="J443" t="inlineStr">
        <is>
          <t>Analytics</t>
        </is>
      </c>
      <c r="K443" t="inlineStr">
        <is>
          <t>A. Rao</t>
        </is>
      </c>
      <c r="L443" t="n">
        <v>6</v>
      </c>
      <c r="M443" s="3" t="n">
        <v>2014.96</v>
      </c>
      <c r="N443" s="3">
        <f>L443*M443</f>
        <v/>
      </c>
      <c r="O443" s="3">
        <f>N443*0.179</f>
        <v/>
      </c>
      <c r="P443" s="3">
        <f>N443-O443</f>
        <v/>
      </c>
      <c r="Q443" s="4">
        <f>IF(N443=0,0,P443/N443)</f>
        <v/>
      </c>
    </row>
    <row r="444">
      <c r="A444" t="inlineStr">
        <is>
          <t>ORD-1442</t>
        </is>
      </c>
      <c r="B444" s="2" t="n">
        <v>45621</v>
      </c>
      <c r="C444" t="n">
        <v>2024</v>
      </c>
      <c r="D444" t="inlineStr">
        <is>
          <t>Q4</t>
        </is>
      </c>
      <c r="E444" t="inlineStr">
        <is>
          <t>Nov</t>
        </is>
      </c>
      <c r="F444" t="inlineStr">
        <is>
          <t>North</t>
        </is>
      </c>
      <c r="G444" t="inlineStr">
        <is>
          <t>SMB</t>
        </is>
      </c>
      <c r="H444" t="inlineStr">
        <is>
          <t>Direct</t>
        </is>
      </c>
      <c r="I444" t="inlineStr">
        <is>
          <t>Subscriptions</t>
        </is>
      </c>
      <c r="J444" t="inlineStr">
        <is>
          <t>Pro</t>
        </is>
      </c>
      <c r="K444" t="inlineStr">
        <is>
          <t>A. Rao</t>
        </is>
      </c>
      <c r="L444" t="n">
        <v>19</v>
      </c>
      <c r="M444" s="3" t="n">
        <v>881.08</v>
      </c>
      <c r="N444" s="3">
        <f>L444*M444</f>
        <v/>
      </c>
      <c r="O444" s="3">
        <f>N444*0.194</f>
        <v/>
      </c>
      <c r="P444" s="3">
        <f>N444-O444</f>
        <v/>
      </c>
      <c r="Q444" s="4">
        <f>IF(N444=0,0,P444/N444)</f>
        <v/>
      </c>
    </row>
    <row r="445">
      <c r="A445" t="inlineStr">
        <is>
          <t>ORD-1443</t>
        </is>
      </c>
      <c r="B445" s="2" t="n">
        <v>45476</v>
      </c>
      <c r="C445" t="n">
        <v>2024</v>
      </c>
      <c r="D445" t="inlineStr">
        <is>
          <t>Q3</t>
        </is>
      </c>
      <c r="E445" t="inlineStr">
        <is>
          <t>Jul</t>
        </is>
      </c>
      <c r="F445" t="inlineStr">
        <is>
          <t>North</t>
        </is>
      </c>
      <c r="G445" t="inlineStr">
        <is>
          <t>SMB</t>
        </is>
      </c>
      <c r="H445" t="inlineStr">
        <is>
          <t>Direct</t>
        </is>
      </c>
      <c r="I445" t="inlineStr">
        <is>
          <t>Services</t>
        </is>
      </c>
      <c r="J445" t="inlineStr">
        <is>
          <t>Training</t>
        </is>
      </c>
      <c r="K445" t="inlineStr">
        <is>
          <t>B. Khan</t>
        </is>
      </c>
      <c r="L445" t="n">
        <v>28</v>
      </c>
      <c r="M445" s="3" t="n">
        <v>1924.79</v>
      </c>
      <c r="N445" s="3">
        <f>L445*M445</f>
        <v/>
      </c>
      <c r="O445" s="3">
        <f>N445*0.251</f>
        <v/>
      </c>
      <c r="P445" s="3">
        <f>N445-O445</f>
        <v/>
      </c>
      <c r="Q445" s="4">
        <f>IF(N445=0,0,P445/N445)</f>
        <v/>
      </c>
    </row>
    <row r="446">
      <c r="A446" t="inlineStr">
        <is>
          <t>ORD-1444</t>
        </is>
      </c>
      <c r="B446" s="2" t="n">
        <v>45379</v>
      </c>
      <c r="C446" t="n">
        <v>2024</v>
      </c>
      <c r="D446" t="inlineStr">
        <is>
          <t>Q1</t>
        </is>
      </c>
      <c r="E446" t="inlineStr">
        <is>
          <t>Mar</t>
        </is>
      </c>
      <c r="F446" t="inlineStr">
        <is>
          <t>East</t>
        </is>
      </c>
      <c r="G446" t="inlineStr">
        <is>
          <t>Enterprise</t>
        </is>
      </c>
      <c r="H446" t="inlineStr">
        <is>
          <t>Direct</t>
        </is>
      </c>
      <c r="I446" t="inlineStr">
        <is>
          <t>Add-ons</t>
        </is>
      </c>
      <c r="J446" t="inlineStr">
        <is>
          <t>Support Plus</t>
        </is>
      </c>
      <c r="K446" t="inlineStr">
        <is>
          <t>C. Mehta</t>
        </is>
      </c>
      <c r="L446" t="n">
        <v>29</v>
      </c>
      <c r="M446" s="3" t="n">
        <v>2401.2</v>
      </c>
      <c r="N446" s="3">
        <f>L446*M446</f>
        <v/>
      </c>
      <c r="O446" s="3">
        <f>N446*0.206</f>
        <v/>
      </c>
      <c r="P446" s="3">
        <f>N446-O446</f>
        <v/>
      </c>
      <c r="Q446" s="4">
        <f>IF(N446=0,0,P446/N446)</f>
        <v/>
      </c>
    </row>
    <row r="447">
      <c r="A447" t="inlineStr">
        <is>
          <t>ORD-1445</t>
        </is>
      </c>
      <c r="B447" s="2" t="n">
        <v>45385</v>
      </c>
      <c r="C447" t="n">
        <v>2024</v>
      </c>
      <c r="D447" t="inlineStr">
        <is>
          <t>Q2</t>
        </is>
      </c>
      <c r="E447" t="inlineStr">
        <is>
          <t>Apr</t>
        </is>
      </c>
      <c r="F447" t="inlineStr">
        <is>
          <t>East</t>
        </is>
      </c>
      <c r="G447" t="inlineStr">
        <is>
          <t>Mid-Market</t>
        </is>
      </c>
      <c r="H447" t="inlineStr">
        <is>
          <t>Self-serve</t>
        </is>
      </c>
      <c r="I447" t="inlineStr">
        <is>
          <t>Subscriptions</t>
        </is>
      </c>
      <c r="J447" t="inlineStr">
        <is>
          <t>Pro</t>
        </is>
      </c>
      <c r="K447" t="inlineStr">
        <is>
          <t>D. Iyer</t>
        </is>
      </c>
      <c r="L447" t="n">
        <v>26</v>
      </c>
      <c r="M447" s="3" t="n">
        <v>2417.08</v>
      </c>
      <c r="N447" s="3">
        <f>L447*M447</f>
        <v/>
      </c>
      <c r="O447" s="3">
        <f>N447*0.21</f>
        <v/>
      </c>
      <c r="P447" s="3">
        <f>N447-O447</f>
        <v/>
      </c>
      <c r="Q447" s="4">
        <f>IF(N447=0,0,P447/N447)</f>
        <v/>
      </c>
    </row>
    <row r="448">
      <c r="A448" t="inlineStr">
        <is>
          <t>ORD-1446</t>
        </is>
      </c>
      <c r="B448" s="2" t="n">
        <v>45624</v>
      </c>
      <c r="C448" t="n">
        <v>2024</v>
      </c>
      <c r="D448" t="inlineStr">
        <is>
          <t>Q4</t>
        </is>
      </c>
      <c r="E448" t="inlineStr">
        <is>
          <t>Nov</t>
        </is>
      </c>
      <c r="F448" t="inlineStr">
        <is>
          <t>North</t>
        </is>
      </c>
      <c r="G448" t="inlineStr">
        <is>
          <t>SMB</t>
        </is>
      </c>
      <c r="H448" t="inlineStr">
        <is>
          <t>Direct</t>
        </is>
      </c>
      <c r="I448" t="inlineStr">
        <is>
          <t>Subscriptions</t>
        </is>
      </c>
      <c r="J448" t="inlineStr">
        <is>
          <t>Starter</t>
        </is>
      </c>
      <c r="K448" t="inlineStr">
        <is>
          <t>D. Iyer</t>
        </is>
      </c>
      <c r="L448" t="n">
        <v>9</v>
      </c>
      <c r="M448" s="3" t="n">
        <v>1831.57</v>
      </c>
      <c r="N448" s="3">
        <f>L448*M448</f>
        <v/>
      </c>
      <c r="O448" s="3">
        <f>N448*0.177</f>
        <v/>
      </c>
      <c r="P448" s="3">
        <f>N448-O448</f>
        <v/>
      </c>
      <c r="Q448" s="4">
        <f>IF(N448=0,0,P448/N448)</f>
        <v/>
      </c>
    </row>
    <row r="449">
      <c r="A449" t="inlineStr">
        <is>
          <t>ORD-1447</t>
        </is>
      </c>
      <c r="B449" s="2" t="n">
        <v>45539</v>
      </c>
      <c r="C449" t="n">
        <v>2024</v>
      </c>
      <c r="D449" t="inlineStr">
        <is>
          <t>Q3</t>
        </is>
      </c>
      <c r="E449" t="inlineStr">
        <is>
          <t>Sep</t>
        </is>
      </c>
      <c r="F449" t="inlineStr">
        <is>
          <t>East</t>
        </is>
      </c>
      <c r="G449" t="inlineStr">
        <is>
          <t>Enterprise</t>
        </is>
      </c>
      <c r="H449" t="inlineStr">
        <is>
          <t>Direct</t>
        </is>
      </c>
      <c r="I449" t="inlineStr">
        <is>
          <t>Services</t>
        </is>
      </c>
      <c r="J449" t="inlineStr">
        <is>
          <t>Training</t>
        </is>
      </c>
      <c r="K449" t="inlineStr">
        <is>
          <t>F. Shah</t>
        </is>
      </c>
      <c r="L449" t="n">
        <v>12</v>
      </c>
      <c r="M449" s="3" t="n">
        <v>1644.91</v>
      </c>
      <c r="N449" s="3">
        <f>L449*M449</f>
        <v/>
      </c>
      <c r="O449" s="3">
        <f>N449*0.186</f>
        <v/>
      </c>
      <c r="P449" s="3">
        <f>N449-O449</f>
        <v/>
      </c>
      <c r="Q449" s="4">
        <f>IF(N449=0,0,P449/N449)</f>
        <v/>
      </c>
    </row>
    <row r="450">
      <c r="A450" t="inlineStr">
        <is>
          <t>ORD-1448</t>
        </is>
      </c>
      <c r="B450" s="2" t="n">
        <v>45358</v>
      </c>
      <c r="C450" t="n">
        <v>2024</v>
      </c>
      <c r="D450" t="inlineStr">
        <is>
          <t>Q1</t>
        </is>
      </c>
      <c r="E450" t="inlineStr">
        <is>
          <t>Mar</t>
        </is>
      </c>
      <c r="F450" t="inlineStr">
        <is>
          <t>West</t>
        </is>
      </c>
      <c r="G450" t="inlineStr">
        <is>
          <t>SMB</t>
        </is>
      </c>
      <c r="H450" t="inlineStr">
        <is>
          <t>Direct</t>
        </is>
      </c>
      <c r="I450" t="inlineStr">
        <is>
          <t>Add-ons</t>
        </is>
      </c>
      <c r="J450" t="inlineStr">
        <is>
          <t>Support Plus</t>
        </is>
      </c>
      <c r="K450" t="inlineStr">
        <is>
          <t>C. Mehta</t>
        </is>
      </c>
      <c r="L450" t="n">
        <v>8</v>
      </c>
      <c r="M450" s="3" t="n">
        <v>2252.71</v>
      </c>
      <c r="N450" s="3">
        <f>L450*M450</f>
        <v/>
      </c>
      <c r="O450" s="3">
        <f>N450*0.254</f>
        <v/>
      </c>
      <c r="P450" s="3">
        <f>N450-O450</f>
        <v/>
      </c>
      <c r="Q450" s="4">
        <f>IF(N450=0,0,P450/N450)</f>
        <v/>
      </c>
    </row>
    <row r="451">
      <c r="A451" t="inlineStr">
        <is>
          <t>ORD-1449</t>
        </is>
      </c>
      <c r="B451" s="2" t="n">
        <v>45298</v>
      </c>
      <c r="C451" t="n">
        <v>2024</v>
      </c>
      <c r="D451" t="inlineStr">
        <is>
          <t>Q1</t>
        </is>
      </c>
      <c r="E451" t="inlineStr">
        <is>
          <t>Jan</t>
        </is>
      </c>
      <c r="F451" t="inlineStr">
        <is>
          <t>North</t>
        </is>
      </c>
      <c r="G451" t="inlineStr">
        <is>
          <t>Mid-Market</t>
        </is>
      </c>
      <c r="H451" t="inlineStr">
        <is>
          <t>Self-serve</t>
        </is>
      </c>
      <c r="I451" t="inlineStr">
        <is>
          <t>Services</t>
        </is>
      </c>
      <c r="J451" t="inlineStr">
        <is>
          <t>Onboarding</t>
        </is>
      </c>
      <c r="K451" t="inlineStr">
        <is>
          <t>F. Shah</t>
        </is>
      </c>
      <c r="L451" t="n">
        <v>43</v>
      </c>
      <c r="M451" s="3" t="n">
        <v>2220.92</v>
      </c>
      <c r="N451" s="3">
        <f>L451*M451</f>
        <v/>
      </c>
      <c r="O451" s="3">
        <f>N451*0.375</f>
        <v/>
      </c>
      <c r="P451" s="3">
        <f>N451-O451</f>
        <v/>
      </c>
      <c r="Q451" s="4">
        <f>IF(N451=0,0,P451/N451)</f>
        <v/>
      </c>
    </row>
    <row r="452">
      <c r="A452" t="inlineStr">
        <is>
          <t>ORD-1450</t>
        </is>
      </c>
      <c r="B452" s="2" t="n">
        <v>45469</v>
      </c>
      <c r="C452" t="n">
        <v>2024</v>
      </c>
      <c r="D452" t="inlineStr">
        <is>
          <t>Q2</t>
        </is>
      </c>
      <c r="E452" t="inlineStr">
        <is>
          <t>Jun</t>
        </is>
      </c>
      <c r="F452" t="inlineStr">
        <is>
          <t>North</t>
        </is>
      </c>
      <c r="G452" t="inlineStr">
        <is>
          <t>SMB</t>
        </is>
      </c>
      <c r="H452" t="inlineStr">
        <is>
          <t>Self-serve</t>
        </is>
      </c>
      <c r="I452" t="inlineStr">
        <is>
          <t>Services</t>
        </is>
      </c>
      <c r="J452" t="inlineStr">
        <is>
          <t>Training</t>
        </is>
      </c>
      <c r="K452" t="inlineStr">
        <is>
          <t>B. Khan</t>
        </is>
      </c>
      <c r="L452" t="n">
        <v>10</v>
      </c>
      <c r="M452" s="3" t="n">
        <v>2145.87</v>
      </c>
      <c r="N452" s="3">
        <f>L452*M452</f>
        <v/>
      </c>
      <c r="O452" s="3">
        <f>N452*0.298</f>
        <v/>
      </c>
      <c r="P452" s="3">
        <f>N452-O452</f>
        <v/>
      </c>
      <c r="Q452" s="4">
        <f>IF(N452=0,0,P452/N452)</f>
        <v/>
      </c>
    </row>
    <row r="453">
      <c r="A453" t="inlineStr">
        <is>
          <t>ORD-1451</t>
        </is>
      </c>
      <c r="B453" s="2" t="n">
        <v>45532</v>
      </c>
      <c r="C453" t="n">
        <v>2024</v>
      </c>
      <c r="D453" t="inlineStr">
        <is>
          <t>Q3</t>
        </is>
      </c>
      <c r="E453" t="inlineStr">
        <is>
          <t>Aug</t>
        </is>
      </c>
      <c r="F453" t="inlineStr">
        <is>
          <t>East</t>
        </is>
      </c>
      <c r="G453" t="inlineStr">
        <is>
          <t>SMB</t>
        </is>
      </c>
      <c r="H453" t="inlineStr">
        <is>
          <t>Partner</t>
        </is>
      </c>
      <c r="I453" t="inlineStr">
        <is>
          <t>Add-ons</t>
        </is>
      </c>
      <c r="J453" t="inlineStr">
        <is>
          <t>Analytics</t>
        </is>
      </c>
      <c r="K453" t="inlineStr">
        <is>
          <t>C. Mehta</t>
        </is>
      </c>
      <c r="L453" t="n">
        <v>5</v>
      </c>
      <c r="M453" s="3" t="n">
        <v>1953.15</v>
      </c>
      <c r="N453" s="3">
        <f>L453*M453</f>
        <v/>
      </c>
      <c r="O453" s="3">
        <f>N453*0.435</f>
        <v/>
      </c>
      <c r="P453" s="3">
        <f>N453-O453</f>
        <v/>
      </c>
      <c r="Q453" s="4">
        <f>IF(N453=0,0,P453/N453)</f>
        <v/>
      </c>
    </row>
    <row r="454">
      <c r="A454" t="inlineStr">
        <is>
          <t>ORD-1452</t>
        </is>
      </c>
      <c r="B454" s="2" t="n">
        <v>45406</v>
      </c>
      <c r="C454" t="n">
        <v>2024</v>
      </c>
      <c r="D454" t="inlineStr">
        <is>
          <t>Q2</t>
        </is>
      </c>
      <c r="E454" t="inlineStr">
        <is>
          <t>Apr</t>
        </is>
      </c>
      <c r="F454" t="inlineStr">
        <is>
          <t>North</t>
        </is>
      </c>
      <c r="G454" t="inlineStr">
        <is>
          <t>Mid-Market</t>
        </is>
      </c>
      <c r="H454" t="inlineStr">
        <is>
          <t>Partner</t>
        </is>
      </c>
      <c r="I454" t="inlineStr">
        <is>
          <t>Services</t>
        </is>
      </c>
      <c r="J454" t="inlineStr">
        <is>
          <t>Training</t>
        </is>
      </c>
      <c r="K454" t="inlineStr">
        <is>
          <t>E. Nair</t>
        </is>
      </c>
      <c r="L454" t="n">
        <v>26</v>
      </c>
      <c r="M454" s="3" t="n">
        <v>2097.63</v>
      </c>
      <c r="N454" s="3">
        <f>L454*M454</f>
        <v/>
      </c>
      <c r="O454" s="3">
        <f>N454*0.316</f>
        <v/>
      </c>
      <c r="P454" s="3">
        <f>N454-O454</f>
        <v/>
      </c>
      <c r="Q454" s="4">
        <f>IF(N454=0,0,P454/N454)</f>
        <v/>
      </c>
    </row>
    <row r="455">
      <c r="A455" t="inlineStr">
        <is>
          <t>ORD-1453</t>
        </is>
      </c>
      <c r="B455" s="2" t="n">
        <v>45547</v>
      </c>
      <c r="C455" t="n">
        <v>2024</v>
      </c>
      <c r="D455" t="inlineStr">
        <is>
          <t>Q3</t>
        </is>
      </c>
      <c r="E455" t="inlineStr">
        <is>
          <t>Sep</t>
        </is>
      </c>
      <c r="F455" t="inlineStr">
        <is>
          <t>North</t>
        </is>
      </c>
      <c r="G455" t="inlineStr">
        <is>
          <t>SMB</t>
        </is>
      </c>
      <c r="H455" t="inlineStr">
        <is>
          <t>Partner</t>
        </is>
      </c>
      <c r="I455" t="inlineStr">
        <is>
          <t>Add-ons</t>
        </is>
      </c>
      <c r="J455" t="inlineStr">
        <is>
          <t>Support Plus</t>
        </is>
      </c>
      <c r="K455" t="inlineStr">
        <is>
          <t>D. Iyer</t>
        </is>
      </c>
      <c r="L455" t="n">
        <v>8</v>
      </c>
      <c r="M455" s="3" t="n">
        <v>2457.48</v>
      </c>
      <c r="N455" s="3">
        <f>L455*M455</f>
        <v/>
      </c>
      <c r="O455" s="3">
        <f>N455*0.439</f>
        <v/>
      </c>
      <c r="P455" s="3">
        <f>N455-O455</f>
        <v/>
      </c>
      <c r="Q455" s="4">
        <f>IF(N455=0,0,P455/N455)</f>
        <v/>
      </c>
    </row>
    <row r="456">
      <c r="A456" t="inlineStr">
        <is>
          <t>ORD-1454</t>
        </is>
      </c>
      <c r="B456" s="2" t="n">
        <v>45573</v>
      </c>
      <c r="C456" t="n">
        <v>2024</v>
      </c>
      <c r="D456" t="inlineStr">
        <is>
          <t>Q4</t>
        </is>
      </c>
      <c r="E456" t="inlineStr">
        <is>
          <t>Oct</t>
        </is>
      </c>
      <c r="F456" t="inlineStr">
        <is>
          <t>East</t>
        </is>
      </c>
      <c r="G456" t="inlineStr">
        <is>
          <t>Enterprise</t>
        </is>
      </c>
      <c r="H456" t="inlineStr">
        <is>
          <t>Self-serve</t>
        </is>
      </c>
      <c r="I456" t="inlineStr">
        <is>
          <t>Subscriptions</t>
        </is>
      </c>
      <c r="J456" t="inlineStr">
        <is>
          <t>Starter</t>
        </is>
      </c>
      <c r="K456" t="inlineStr">
        <is>
          <t>B. Khan</t>
        </is>
      </c>
      <c r="L456" t="n">
        <v>39</v>
      </c>
      <c r="M456" s="3" t="n">
        <v>2418.98</v>
      </c>
      <c r="N456" s="3">
        <f>L456*M456</f>
        <v/>
      </c>
      <c r="O456" s="3">
        <f>N456*0.254</f>
        <v/>
      </c>
      <c r="P456" s="3">
        <f>N456-O456</f>
        <v/>
      </c>
      <c r="Q456" s="4">
        <f>IF(N456=0,0,P456/N456)</f>
        <v/>
      </c>
    </row>
    <row r="457">
      <c r="A457" t="inlineStr">
        <is>
          <t>ORD-1455</t>
        </is>
      </c>
      <c r="B457" s="2" t="n">
        <v>45525</v>
      </c>
      <c r="C457" t="n">
        <v>2024</v>
      </c>
      <c r="D457" t="inlineStr">
        <is>
          <t>Q3</t>
        </is>
      </c>
      <c r="E457" t="inlineStr">
        <is>
          <t>Aug</t>
        </is>
      </c>
      <c r="F457" t="inlineStr">
        <is>
          <t>West</t>
        </is>
      </c>
      <c r="G457" t="inlineStr">
        <is>
          <t>Mid-Market</t>
        </is>
      </c>
      <c r="H457" t="inlineStr">
        <is>
          <t>Self-serve</t>
        </is>
      </c>
      <c r="I457" t="inlineStr">
        <is>
          <t>Add-ons</t>
        </is>
      </c>
      <c r="J457" t="inlineStr">
        <is>
          <t>Support Plus</t>
        </is>
      </c>
      <c r="K457" t="inlineStr">
        <is>
          <t>E. Nair</t>
        </is>
      </c>
      <c r="L457" t="n">
        <v>4</v>
      </c>
      <c r="M457" s="3" t="n">
        <v>2096.5</v>
      </c>
      <c r="N457" s="3">
        <f>L457*M457</f>
        <v/>
      </c>
      <c r="O457" s="3">
        <f>N457*0.27</f>
        <v/>
      </c>
      <c r="P457" s="3">
        <f>N457-O457</f>
        <v/>
      </c>
      <c r="Q457" s="4">
        <f>IF(N457=0,0,P457/N457)</f>
        <v/>
      </c>
    </row>
    <row r="458">
      <c r="A458" t="inlineStr">
        <is>
          <t>ORD-1456</t>
        </is>
      </c>
      <c r="B458" s="2" t="n">
        <v>45628</v>
      </c>
      <c r="C458" t="n">
        <v>2024</v>
      </c>
      <c r="D458" t="inlineStr">
        <is>
          <t>Q4</t>
        </is>
      </c>
      <c r="E458" t="inlineStr">
        <is>
          <t>Dec</t>
        </is>
      </c>
      <c r="F458" t="inlineStr">
        <is>
          <t>South</t>
        </is>
      </c>
      <c r="G458" t="inlineStr">
        <is>
          <t>SMB</t>
        </is>
      </c>
      <c r="H458" t="inlineStr">
        <is>
          <t>Partner</t>
        </is>
      </c>
      <c r="I458" t="inlineStr">
        <is>
          <t>Add-ons</t>
        </is>
      </c>
      <c r="J458" t="inlineStr">
        <is>
          <t>Extra Seats</t>
        </is>
      </c>
      <c r="K458" t="inlineStr">
        <is>
          <t>C. Mehta</t>
        </is>
      </c>
      <c r="L458" t="n">
        <v>29</v>
      </c>
      <c r="M458" s="3" t="n">
        <v>550.85</v>
      </c>
      <c r="N458" s="3">
        <f>L458*M458</f>
        <v/>
      </c>
      <c r="O458" s="3">
        <f>N458*0.201</f>
        <v/>
      </c>
      <c r="P458" s="3">
        <f>N458-O458</f>
        <v/>
      </c>
      <c r="Q458" s="4">
        <f>IF(N458=0,0,P458/N458)</f>
        <v/>
      </c>
    </row>
    <row r="459">
      <c r="A459" t="inlineStr">
        <is>
          <t>ORD-1457</t>
        </is>
      </c>
      <c r="B459" s="2" t="n">
        <v>45441</v>
      </c>
      <c r="C459" t="n">
        <v>2024</v>
      </c>
      <c r="D459" t="inlineStr">
        <is>
          <t>Q2</t>
        </is>
      </c>
      <c r="E459" t="inlineStr">
        <is>
          <t>May</t>
        </is>
      </c>
      <c r="F459" t="inlineStr">
        <is>
          <t>South</t>
        </is>
      </c>
      <c r="G459" t="inlineStr">
        <is>
          <t>Mid-Market</t>
        </is>
      </c>
      <c r="H459" t="inlineStr">
        <is>
          <t>Direct</t>
        </is>
      </c>
      <c r="I459" t="inlineStr">
        <is>
          <t>Services</t>
        </is>
      </c>
      <c r="J459" t="inlineStr">
        <is>
          <t>Training</t>
        </is>
      </c>
      <c r="K459" t="inlineStr">
        <is>
          <t>F. Shah</t>
        </is>
      </c>
      <c r="L459" t="n">
        <v>45</v>
      </c>
      <c r="M459" s="3" t="n">
        <v>533.91</v>
      </c>
      <c r="N459" s="3">
        <f>L459*M459</f>
        <v/>
      </c>
      <c r="O459" s="3">
        <f>N459*0.227</f>
        <v/>
      </c>
      <c r="P459" s="3">
        <f>N459-O459</f>
        <v/>
      </c>
      <c r="Q459" s="4">
        <f>IF(N459=0,0,P459/N459)</f>
        <v/>
      </c>
    </row>
    <row r="460">
      <c r="A460" t="inlineStr">
        <is>
          <t>ORD-1458</t>
        </is>
      </c>
      <c r="B460" s="2" t="n">
        <v>45501</v>
      </c>
      <c r="C460" t="n">
        <v>2024</v>
      </c>
      <c r="D460" t="inlineStr">
        <is>
          <t>Q3</t>
        </is>
      </c>
      <c r="E460" t="inlineStr">
        <is>
          <t>Jul</t>
        </is>
      </c>
      <c r="F460" t="inlineStr">
        <is>
          <t>North</t>
        </is>
      </c>
      <c r="G460" t="inlineStr">
        <is>
          <t>Mid-Market</t>
        </is>
      </c>
      <c r="H460" t="inlineStr">
        <is>
          <t>Direct</t>
        </is>
      </c>
      <c r="I460" t="inlineStr">
        <is>
          <t>Subscriptions</t>
        </is>
      </c>
      <c r="J460" t="inlineStr">
        <is>
          <t>Pro</t>
        </is>
      </c>
      <c r="K460" t="inlineStr">
        <is>
          <t>D. Iyer</t>
        </is>
      </c>
      <c r="L460" t="n">
        <v>40</v>
      </c>
      <c r="M460" s="3" t="n">
        <v>731.03</v>
      </c>
      <c r="N460" s="3">
        <f>L460*M460</f>
        <v/>
      </c>
      <c r="O460" s="3">
        <f>N460*0.203</f>
        <v/>
      </c>
      <c r="P460" s="3">
        <f>N460-O460</f>
        <v/>
      </c>
      <c r="Q460" s="4">
        <f>IF(N460=0,0,P460/N460)</f>
        <v/>
      </c>
    </row>
    <row r="461">
      <c r="A461" t="inlineStr">
        <is>
          <t>ORD-1459</t>
        </is>
      </c>
      <c r="B461" s="2" t="n">
        <v>45389</v>
      </c>
      <c r="C461" t="n">
        <v>2024</v>
      </c>
      <c r="D461" t="inlineStr">
        <is>
          <t>Q2</t>
        </is>
      </c>
      <c r="E461" t="inlineStr">
        <is>
          <t>Apr</t>
        </is>
      </c>
      <c r="F461" t="inlineStr">
        <is>
          <t>North</t>
        </is>
      </c>
      <c r="G461" t="inlineStr">
        <is>
          <t>Enterprise</t>
        </is>
      </c>
      <c r="H461" t="inlineStr">
        <is>
          <t>Self-serve</t>
        </is>
      </c>
      <c r="I461" t="inlineStr">
        <is>
          <t>Services</t>
        </is>
      </c>
      <c r="J461" t="inlineStr">
        <is>
          <t>Training</t>
        </is>
      </c>
      <c r="K461" t="inlineStr">
        <is>
          <t>E. Nair</t>
        </is>
      </c>
      <c r="L461" t="n">
        <v>7</v>
      </c>
      <c r="M461" s="3" t="n">
        <v>1965.73</v>
      </c>
      <c r="N461" s="3">
        <f>L461*M461</f>
        <v/>
      </c>
      <c r="O461" s="3">
        <f>N461*0.413</f>
        <v/>
      </c>
      <c r="P461" s="3">
        <f>N461-O461</f>
        <v/>
      </c>
      <c r="Q461" s="4">
        <f>IF(N461=0,0,P461/N461)</f>
        <v/>
      </c>
    </row>
    <row r="462">
      <c r="A462" t="inlineStr">
        <is>
          <t>ORD-1460</t>
        </is>
      </c>
      <c r="B462" s="2" t="n">
        <v>45522</v>
      </c>
      <c r="C462" t="n">
        <v>2024</v>
      </c>
      <c r="D462" t="inlineStr">
        <is>
          <t>Q3</t>
        </is>
      </c>
      <c r="E462" t="inlineStr">
        <is>
          <t>Aug</t>
        </is>
      </c>
      <c r="F462" t="inlineStr">
        <is>
          <t>South</t>
        </is>
      </c>
      <c r="G462" t="inlineStr">
        <is>
          <t>Mid-Market</t>
        </is>
      </c>
      <c r="H462" t="inlineStr">
        <is>
          <t>Direct</t>
        </is>
      </c>
      <c r="I462" t="inlineStr">
        <is>
          <t>Add-ons</t>
        </is>
      </c>
      <c r="J462" t="inlineStr">
        <is>
          <t>Extra Seats</t>
        </is>
      </c>
      <c r="K462" t="inlineStr">
        <is>
          <t>E. Nair</t>
        </is>
      </c>
      <c r="L462" t="n">
        <v>38</v>
      </c>
      <c r="M462" s="3" t="n">
        <v>2403.62</v>
      </c>
      <c r="N462" s="3">
        <f>L462*M462</f>
        <v/>
      </c>
      <c r="O462" s="3">
        <f>N462*0.229</f>
        <v/>
      </c>
      <c r="P462" s="3">
        <f>N462-O462</f>
        <v/>
      </c>
      <c r="Q462" s="4">
        <f>IF(N462=0,0,P462/N462)</f>
        <v/>
      </c>
    </row>
    <row r="463">
      <c r="A463" t="inlineStr">
        <is>
          <t>ORD-1461</t>
        </is>
      </c>
      <c r="B463" s="2" t="n">
        <v>45575</v>
      </c>
      <c r="C463" t="n">
        <v>2024</v>
      </c>
      <c r="D463" t="inlineStr">
        <is>
          <t>Q4</t>
        </is>
      </c>
      <c r="E463" t="inlineStr">
        <is>
          <t>Oct</t>
        </is>
      </c>
      <c r="F463" t="inlineStr">
        <is>
          <t>South</t>
        </is>
      </c>
      <c r="G463" t="inlineStr">
        <is>
          <t>Enterprise</t>
        </is>
      </c>
      <c r="H463" t="inlineStr">
        <is>
          <t>Self-serve</t>
        </is>
      </c>
      <c r="I463" t="inlineStr">
        <is>
          <t>Add-ons</t>
        </is>
      </c>
      <c r="J463" t="inlineStr">
        <is>
          <t>Extra Seats</t>
        </is>
      </c>
      <c r="K463" t="inlineStr">
        <is>
          <t>B. Khan</t>
        </is>
      </c>
      <c r="L463" t="n">
        <v>31</v>
      </c>
      <c r="M463" s="3" t="n">
        <v>2333.62</v>
      </c>
      <c r="N463" s="3">
        <f>L463*M463</f>
        <v/>
      </c>
      <c r="O463" s="3">
        <f>N463*0.231</f>
        <v/>
      </c>
      <c r="P463" s="3">
        <f>N463-O463</f>
        <v/>
      </c>
      <c r="Q463" s="4">
        <f>IF(N463=0,0,P463/N463)</f>
        <v/>
      </c>
    </row>
    <row r="464">
      <c r="A464" t="inlineStr">
        <is>
          <t>ORD-1462</t>
        </is>
      </c>
      <c r="B464" s="2" t="n">
        <v>45357</v>
      </c>
      <c r="C464" t="n">
        <v>2024</v>
      </c>
      <c r="D464" t="inlineStr">
        <is>
          <t>Q1</t>
        </is>
      </c>
      <c r="E464" t="inlineStr">
        <is>
          <t>Mar</t>
        </is>
      </c>
      <c r="F464" t="inlineStr">
        <is>
          <t>East</t>
        </is>
      </c>
      <c r="G464" t="inlineStr">
        <is>
          <t>Enterprise</t>
        </is>
      </c>
      <c r="H464" t="inlineStr">
        <is>
          <t>Partner</t>
        </is>
      </c>
      <c r="I464" t="inlineStr">
        <is>
          <t>Subscriptions</t>
        </is>
      </c>
      <c r="J464" t="inlineStr">
        <is>
          <t>Pro</t>
        </is>
      </c>
      <c r="K464" t="inlineStr">
        <is>
          <t>D. Iyer</t>
        </is>
      </c>
      <c r="L464" t="n">
        <v>43</v>
      </c>
      <c r="M464" s="3" t="n">
        <v>1621.2</v>
      </c>
      <c r="N464" s="3">
        <f>L464*M464</f>
        <v/>
      </c>
      <c r="O464" s="3">
        <f>N464*0.156</f>
        <v/>
      </c>
      <c r="P464" s="3">
        <f>N464-O464</f>
        <v/>
      </c>
      <c r="Q464" s="4">
        <f>IF(N464=0,0,P464/N464)</f>
        <v/>
      </c>
    </row>
    <row r="465">
      <c r="A465" t="inlineStr">
        <is>
          <t>ORD-1463</t>
        </is>
      </c>
      <c r="B465" s="2" t="n">
        <v>45646</v>
      </c>
      <c r="C465" t="n">
        <v>2024</v>
      </c>
      <c r="D465" t="inlineStr">
        <is>
          <t>Q4</t>
        </is>
      </c>
      <c r="E465" t="inlineStr">
        <is>
          <t>Dec</t>
        </is>
      </c>
      <c r="F465" t="inlineStr">
        <is>
          <t>East</t>
        </is>
      </c>
      <c r="G465" t="inlineStr">
        <is>
          <t>Mid-Market</t>
        </is>
      </c>
      <c r="H465" t="inlineStr">
        <is>
          <t>Direct</t>
        </is>
      </c>
      <c r="I465" t="inlineStr">
        <is>
          <t>Subscriptions</t>
        </is>
      </c>
      <c r="J465" t="inlineStr">
        <is>
          <t>Pro</t>
        </is>
      </c>
      <c r="K465" t="inlineStr">
        <is>
          <t>B. Khan</t>
        </is>
      </c>
      <c r="L465" t="n">
        <v>26</v>
      </c>
      <c r="M465" s="3" t="n">
        <v>2419.91</v>
      </c>
      <c r="N465" s="3">
        <f>L465*M465</f>
        <v/>
      </c>
      <c r="O465" s="3">
        <f>N465*0.326</f>
        <v/>
      </c>
      <c r="P465" s="3">
        <f>N465-O465</f>
        <v/>
      </c>
      <c r="Q465" s="4">
        <f>IF(N465=0,0,P465/N465)</f>
        <v/>
      </c>
    </row>
    <row r="466">
      <c r="A466" t="inlineStr">
        <is>
          <t>ORD-1464</t>
        </is>
      </c>
      <c r="B466" s="2" t="n">
        <v>45650</v>
      </c>
      <c r="C466" t="n">
        <v>2024</v>
      </c>
      <c r="D466" t="inlineStr">
        <is>
          <t>Q4</t>
        </is>
      </c>
      <c r="E466" t="inlineStr">
        <is>
          <t>Dec</t>
        </is>
      </c>
      <c r="F466" t="inlineStr">
        <is>
          <t>East</t>
        </is>
      </c>
      <c r="G466" t="inlineStr">
        <is>
          <t>Enterprise</t>
        </is>
      </c>
      <c r="H466" t="inlineStr">
        <is>
          <t>Self-serve</t>
        </is>
      </c>
      <c r="I466" t="inlineStr">
        <is>
          <t>Services</t>
        </is>
      </c>
      <c r="J466" t="inlineStr">
        <is>
          <t>Training</t>
        </is>
      </c>
      <c r="K466" t="inlineStr">
        <is>
          <t>E. Nair</t>
        </is>
      </c>
      <c r="L466" t="n">
        <v>45</v>
      </c>
      <c r="M466" s="3" t="n">
        <v>1505.17</v>
      </c>
      <c r="N466" s="3">
        <f>L466*M466</f>
        <v/>
      </c>
      <c r="O466" s="3">
        <f>N466*0.26</f>
        <v/>
      </c>
      <c r="P466" s="3">
        <f>N466-O466</f>
        <v/>
      </c>
      <c r="Q466" s="4">
        <f>IF(N466=0,0,P466/N466)</f>
        <v/>
      </c>
    </row>
    <row r="467">
      <c r="A467" t="inlineStr">
        <is>
          <t>ORD-1465</t>
        </is>
      </c>
      <c r="B467" s="2" t="n">
        <v>45394</v>
      </c>
      <c r="C467" t="n">
        <v>2024</v>
      </c>
      <c r="D467" t="inlineStr">
        <is>
          <t>Q2</t>
        </is>
      </c>
      <c r="E467" t="inlineStr">
        <is>
          <t>Apr</t>
        </is>
      </c>
      <c r="F467" t="inlineStr">
        <is>
          <t>East</t>
        </is>
      </c>
      <c r="G467" t="inlineStr">
        <is>
          <t>Enterprise</t>
        </is>
      </c>
      <c r="H467" t="inlineStr">
        <is>
          <t>Direct</t>
        </is>
      </c>
      <c r="I467" t="inlineStr">
        <is>
          <t>Subscriptions</t>
        </is>
      </c>
      <c r="J467" t="inlineStr">
        <is>
          <t>Enterprise</t>
        </is>
      </c>
      <c r="K467" t="inlineStr">
        <is>
          <t>F. Shah</t>
        </is>
      </c>
      <c r="L467" t="n">
        <v>46</v>
      </c>
      <c r="M467" s="3" t="n">
        <v>939.27</v>
      </c>
      <c r="N467" s="3">
        <f>L467*M467</f>
        <v/>
      </c>
      <c r="O467" s="3">
        <f>N467*0.255</f>
        <v/>
      </c>
      <c r="P467" s="3">
        <f>N467-O467</f>
        <v/>
      </c>
      <c r="Q467" s="4">
        <f>IF(N467=0,0,P467/N467)</f>
        <v/>
      </c>
    </row>
    <row r="468">
      <c r="A468" t="inlineStr">
        <is>
          <t>ORD-1466</t>
        </is>
      </c>
      <c r="B468" s="2" t="n">
        <v>45383</v>
      </c>
      <c r="C468" t="n">
        <v>2024</v>
      </c>
      <c r="D468" t="inlineStr">
        <is>
          <t>Q2</t>
        </is>
      </c>
      <c r="E468" t="inlineStr">
        <is>
          <t>Apr</t>
        </is>
      </c>
      <c r="F468" t="inlineStr">
        <is>
          <t>East</t>
        </is>
      </c>
      <c r="G468" t="inlineStr">
        <is>
          <t>Enterprise</t>
        </is>
      </c>
      <c r="H468" t="inlineStr">
        <is>
          <t>Partner</t>
        </is>
      </c>
      <c r="I468" t="inlineStr">
        <is>
          <t>Services</t>
        </is>
      </c>
      <c r="J468" t="inlineStr">
        <is>
          <t>Training</t>
        </is>
      </c>
      <c r="K468" t="inlineStr">
        <is>
          <t>E. Nair</t>
        </is>
      </c>
      <c r="L468" t="n">
        <v>46</v>
      </c>
      <c r="M468" s="3" t="n">
        <v>553.89</v>
      </c>
      <c r="N468" s="3">
        <f>L468*M468</f>
        <v/>
      </c>
      <c r="O468" s="3">
        <f>N468*0.279</f>
        <v/>
      </c>
      <c r="P468" s="3">
        <f>N468-O468</f>
        <v/>
      </c>
      <c r="Q468" s="4">
        <f>IF(N468=0,0,P468/N468)</f>
        <v/>
      </c>
    </row>
    <row r="469">
      <c r="A469" t="inlineStr">
        <is>
          <t>ORD-1467</t>
        </is>
      </c>
      <c r="B469" s="2" t="n">
        <v>45633</v>
      </c>
      <c r="C469" t="n">
        <v>2024</v>
      </c>
      <c r="D469" t="inlineStr">
        <is>
          <t>Q4</t>
        </is>
      </c>
      <c r="E469" t="inlineStr">
        <is>
          <t>Dec</t>
        </is>
      </c>
      <c r="F469" t="inlineStr">
        <is>
          <t>East</t>
        </is>
      </c>
      <c r="G469" t="inlineStr">
        <is>
          <t>Mid-Market</t>
        </is>
      </c>
      <c r="H469" t="inlineStr">
        <is>
          <t>Direct</t>
        </is>
      </c>
      <c r="I469" t="inlineStr">
        <is>
          <t>Services</t>
        </is>
      </c>
      <c r="J469" t="inlineStr">
        <is>
          <t>Training</t>
        </is>
      </c>
      <c r="K469" t="inlineStr">
        <is>
          <t>E. Nair</t>
        </is>
      </c>
      <c r="L469" t="n">
        <v>44</v>
      </c>
      <c r="M469" s="3" t="n">
        <v>1945.31</v>
      </c>
      <c r="N469" s="3">
        <f>L469*M469</f>
        <v/>
      </c>
      <c r="O469" s="3">
        <f>N469*0.418</f>
        <v/>
      </c>
      <c r="P469" s="3">
        <f>N469-O469</f>
        <v/>
      </c>
      <c r="Q469" s="4">
        <f>IF(N469=0,0,P469/N469)</f>
        <v/>
      </c>
    </row>
    <row r="470">
      <c r="A470" t="inlineStr">
        <is>
          <t>ORD-1468</t>
        </is>
      </c>
      <c r="B470" s="2" t="n">
        <v>45487</v>
      </c>
      <c r="C470" t="n">
        <v>2024</v>
      </c>
      <c r="D470" t="inlineStr">
        <is>
          <t>Q3</t>
        </is>
      </c>
      <c r="E470" t="inlineStr">
        <is>
          <t>Jul</t>
        </is>
      </c>
      <c r="F470" t="inlineStr">
        <is>
          <t>East</t>
        </is>
      </c>
      <c r="G470" t="inlineStr">
        <is>
          <t>SMB</t>
        </is>
      </c>
      <c r="H470" t="inlineStr">
        <is>
          <t>Partner</t>
        </is>
      </c>
      <c r="I470" t="inlineStr">
        <is>
          <t>Subscriptions</t>
        </is>
      </c>
      <c r="J470" t="inlineStr">
        <is>
          <t>Starter</t>
        </is>
      </c>
      <c r="K470" t="inlineStr">
        <is>
          <t>F. Shah</t>
        </is>
      </c>
      <c r="L470" t="n">
        <v>43</v>
      </c>
      <c r="M470" s="3" t="n">
        <v>424.53</v>
      </c>
      <c r="N470" s="3">
        <f>L470*M470</f>
        <v/>
      </c>
      <c r="O470" s="3">
        <f>N470*0.375</f>
        <v/>
      </c>
      <c r="P470" s="3">
        <f>N470-O470</f>
        <v/>
      </c>
      <c r="Q470" s="4">
        <f>IF(N470=0,0,P470/N470)</f>
        <v/>
      </c>
    </row>
    <row r="471">
      <c r="A471" t="inlineStr">
        <is>
          <t>ORD-1469</t>
        </is>
      </c>
      <c r="B471" s="2" t="n">
        <v>45323</v>
      </c>
      <c r="C471" t="n">
        <v>2024</v>
      </c>
      <c r="D471" t="inlineStr">
        <is>
          <t>Q1</t>
        </is>
      </c>
      <c r="E471" t="inlineStr">
        <is>
          <t>Feb</t>
        </is>
      </c>
      <c r="F471" t="inlineStr">
        <is>
          <t>North</t>
        </is>
      </c>
      <c r="G471" t="inlineStr">
        <is>
          <t>Mid-Market</t>
        </is>
      </c>
      <c r="H471" t="inlineStr">
        <is>
          <t>Partner</t>
        </is>
      </c>
      <c r="I471" t="inlineStr">
        <is>
          <t>Services</t>
        </is>
      </c>
      <c r="J471" t="inlineStr">
        <is>
          <t>Training</t>
        </is>
      </c>
      <c r="K471" t="inlineStr">
        <is>
          <t>A. Rao</t>
        </is>
      </c>
      <c r="L471" t="n">
        <v>14</v>
      </c>
      <c r="M471" s="3" t="n">
        <v>1957.91</v>
      </c>
      <c r="N471" s="3">
        <f>L471*M471</f>
        <v/>
      </c>
      <c r="O471" s="3">
        <f>N471*0.265</f>
        <v/>
      </c>
      <c r="P471" s="3">
        <f>N471-O471</f>
        <v/>
      </c>
      <c r="Q471" s="4">
        <f>IF(N471=0,0,P471/N471)</f>
        <v/>
      </c>
    </row>
    <row r="472">
      <c r="A472" t="inlineStr">
        <is>
          <t>ORD-1470</t>
        </is>
      </c>
      <c r="B472" s="2" t="n">
        <v>45637</v>
      </c>
      <c r="C472" t="n">
        <v>2024</v>
      </c>
      <c r="D472" t="inlineStr">
        <is>
          <t>Q4</t>
        </is>
      </c>
      <c r="E472" t="inlineStr">
        <is>
          <t>Dec</t>
        </is>
      </c>
      <c r="F472" t="inlineStr">
        <is>
          <t>West</t>
        </is>
      </c>
      <c r="G472" t="inlineStr">
        <is>
          <t>SMB</t>
        </is>
      </c>
      <c r="H472" t="inlineStr">
        <is>
          <t>Self-serve</t>
        </is>
      </c>
      <c r="I472" t="inlineStr">
        <is>
          <t>Services</t>
        </is>
      </c>
      <c r="J472" t="inlineStr">
        <is>
          <t>Onboarding</t>
        </is>
      </c>
      <c r="K472" t="inlineStr">
        <is>
          <t>F. Shah</t>
        </is>
      </c>
      <c r="L472" t="n">
        <v>48</v>
      </c>
      <c r="M472" s="3" t="n">
        <v>1723.66</v>
      </c>
      <c r="N472" s="3">
        <f>L472*M472</f>
        <v/>
      </c>
      <c r="O472" s="3">
        <f>N472*0.364</f>
        <v/>
      </c>
      <c r="P472" s="3">
        <f>N472-O472</f>
        <v/>
      </c>
      <c r="Q472" s="4">
        <f>IF(N472=0,0,P472/N472)</f>
        <v/>
      </c>
    </row>
    <row r="473">
      <c r="A473" t="inlineStr">
        <is>
          <t>ORD-1471</t>
        </is>
      </c>
      <c r="B473" s="2" t="n">
        <v>45632</v>
      </c>
      <c r="C473" t="n">
        <v>2024</v>
      </c>
      <c r="D473" t="inlineStr">
        <is>
          <t>Q4</t>
        </is>
      </c>
      <c r="E473" t="inlineStr">
        <is>
          <t>Dec</t>
        </is>
      </c>
      <c r="F473" t="inlineStr">
        <is>
          <t>East</t>
        </is>
      </c>
      <c r="G473" t="inlineStr">
        <is>
          <t>Enterprise</t>
        </is>
      </c>
      <c r="H473" t="inlineStr">
        <is>
          <t>Direct</t>
        </is>
      </c>
      <c r="I473" t="inlineStr">
        <is>
          <t>Subscriptions</t>
        </is>
      </c>
      <c r="J473" t="inlineStr">
        <is>
          <t>Pro</t>
        </is>
      </c>
      <c r="K473" t="inlineStr">
        <is>
          <t>A. Rao</t>
        </is>
      </c>
      <c r="L473" t="n">
        <v>25</v>
      </c>
      <c r="M473" s="3" t="n">
        <v>1216.45</v>
      </c>
      <c r="N473" s="3">
        <f>L473*M473</f>
        <v/>
      </c>
      <c r="O473" s="3">
        <f>N473*0.227</f>
        <v/>
      </c>
      <c r="P473" s="3">
        <f>N473-O473</f>
        <v/>
      </c>
      <c r="Q473" s="4">
        <f>IF(N473=0,0,P473/N473)</f>
        <v/>
      </c>
    </row>
    <row r="474">
      <c r="A474" t="inlineStr">
        <is>
          <t>ORD-1472</t>
        </is>
      </c>
      <c r="B474" s="2" t="n">
        <v>45395</v>
      </c>
      <c r="C474" t="n">
        <v>2024</v>
      </c>
      <c r="D474" t="inlineStr">
        <is>
          <t>Q2</t>
        </is>
      </c>
      <c r="E474" t="inlineStr">
        <is>
          <t>Apr</t>
        </is>
      </c>
      <c r="F474" t="inlineStr">
        <is>
          <t>East</t>
        </is>
      </c>
      <c r="G474" t="inlineStr">
        <is>
          <t>Enterprise</t>
        </is>
      </c>
      <c r="H474" t="inlineStr">
        <is>
          <t>Self-serve</t>
        </is>
      </c>
      <c r="I474" t="inlineStr">
        <is>
          <t>Services</t>
        </is>
      </c>
      <c r="J474" t="inlineStr">
        <is>
          <t>Training</t>
        </is>
      </c>
      <c r="K474" t="inlineStr">
        <is>
          <t>F. Shah</t>
        </is>
      </c>
      <c r="L474" t="n">
        <v>15</v>
      </c>
      <c r="M474" s="3" t="n">
        <v>2305.27</v>
      </c>
      <c r="N474" s="3">
        <f>L474*M474</f>
        <v/>
      </c>
      <c r="O474" s="3">
        <f>N474*0.269</f>
        <v/>
      </c>
      <c r="P474" s="3">
        <f>N474-O474</f>
        <v/>
      </c>
      <c r="Q474" s="4">
        <f>IF(N474=0,0,P474/N474)</f>
        <v/>
      </c>
    </row>
    <row r="475">
      <c r="A475" t="inlineStr">
        <is>
          <t>ORD-1473</t>
        </is>
      </c>
      <c r="B475" s="2" t="n">
        <v>45391</v>
      </c>
      <c r="C475" t="n">
        <v>2024</v>
      </c>
      <c r="D475" t="inlineStr">
        <is>
          <t>Q2</t>
        </is>
      </c>
      <c r="E475" t="inlineStr">
        <is>
          <t>Apr</t>
        </is>
      </c>
      <c r="F475" t="inlineStr">
        <is>
          <t>North</t>
        </is>
      </c>
      <c r="G475" t="inlineStr">
        <is>
          <t>SMB</t>
        </is>
      </c>
      <c r="H475" t="inlineStr">
        <is>
          <t>Direct</t>
        </is>
      </c>
      <c r="I475" t="inlineStr">
        <is>
          <t>Add-ons</t>
        </is>
      </c>
      <c r="J475" t="inlineStr">
        <is>
          <t>Support Plus</t>
        </is>
      </c>
      <c r="K475" t="inlineStr">
        <is>
          <t>F. Shah</t>
        </is>
      </c>
      <c r="L475" t="n">
        <v>12</v>
      </c>
      <c r="M475" s="3" t="n">
        <v>2463.6</v>
      </c>
      <c r="N475" s="3">
        <f>L475*M475</f>
        <v/>
      </c>
      <c r="O475" s="3">
        <f>N475*0.296</f>
        <v/>
      </c>
      <c r="P475" s="3">
        <f>N475-O475</f>
        <v/>
      </c>
      <c r="Q475" s="4">
        <f>IF(N475=0,0,P475/N475)</f>
        <v/>
      </c>
    </row>
    <row r="476">
      <c r="A476" t="inlineStr">
        <is>
          <t>ORD-1474</t>
        </is>
      </c>
      <c r="B476" s="2" t="n">
        <v>45485</v>
      </c>
      <c r="C476" t="n">
        <v>2024</v>
      </c>
      <c r="D476" t="inlineStr">
        <is>
          <t>Q3</t>
        </is>
      </c>
      <c r="E476" t="inlineStr">
        <is>
          <t>Jul</t>
        </is>
      </c>
      <c r="F476" t="inlineStr">
        <is>
          <t>South</t>
        </is>
      </c>
      <c r="G476" t="inlineStr">
        <is>
          <t>SMB</t>
        </is>
      </c>
      <c r="H476" t="inlineStr">
        <is>
          <t>Self-serve</t>
        </is>
      </c>
      <c r="I476" t="inlineStr">
        <is>
          <t>Subscriptions</t>
        </is>
      </c>
      <c r="J476" t="inlineStr">
        <is>
          <t>Pro</t>
        </is>
      </c>
      <c r="K476" t="inlineStr">
        <is>
          <t>C. Mehta</t>
        </is>
      </c>
      <c r="L476" t="n">
        <v>18</v>
      </c>
      <c r="M476" s="3" t="n">
        <v>1524.52</v>
      </c>
      <c r="N476" s="3">
        <f>L476*M476</f>
        <v/>
      </c>
      <c r="O476" s="3">
        <f>N476*0.448</f>
        <v/>
      </c>
      <c r="P476" s="3">
        <f>N476-O476</f>
        <v/>
      </c>
      <c r="Q476" s="4">
        <f>IF(N476=0,0,P476/N476)</f>
        <v/>
      </c>
    </row>
    <row r="477">
      <c r="A477" t="inlineStr">
        <is>
          <t>ORD-1475</t>
        </is>
      </c>
      <c r="B477" s="2" t="n">
        <v>45530</v>
      </c>
      <c r="C477" t="n">
        <v>2024</v>
      </c>
      <c r="D477" t="inlineStr">
        <is>
          <t>Q3</t>
        </is>
      </c>
      <c r="E477" t="inlineStr">
        <is>
          <t>Aug</t>
        </is>
      </c>
      <c r="F477" t="inlineStr">
        <is>
          <t>East</t>
        </is>
      </c>
      <c r="G477" t="inlineStr">
        <is>
          <t>Enterprise</t>
        </is>
      </c>
      <c r="H477" t="inlineStr">
        <is>
          <t>Direct</t>
        </is>
      </c>
      <c r="I477" t="inlineStr">
        <is>
          <t>Services</t>
        </is>
      </c>
      <c r="J477" t="inlineStr">
        <is>
          <t>Onboarding</t>
        </is>
      </c>
      <c r="K477" t="inlineStr">
        <is>
          <t>F. Shah</t>
        </is>
      </c>
      <c r="L477" t="n">
        <v>3</v>
      </c>
      <c r="M477" s="3" t="n">
        <v>638.15</v>
      </c>
      <c r="N477" s="3">
        <f>L477*M477</f>
        <v/>
      </c>
      <c r="O477" s="3">
        <f>N477*0.265</f>
        <v/>
      </c>
      <c r="P477" s="3">
        <f>N477-O477</f>
        <v/>
      </c>
      <c r="Q477" s="4">
        <f>IF(N477=0,0,P477/N477)</f>
        <v/>
      </c>
    </row>
    <row r="478">
      <c r="A478" t="inlineStr">
        <is>
          <t>ORD-1476</t>
        </is>
      </c>
      <c r="B478" s="2" t="n">
        <v>45630</v>
      </c>
      <c r="C478" t="n">
        <v>2024</v>
      </c>
      <c r="D478" t="inlineStr">
        <is>
          <t>Q4</t>
        </is>
      </c>
      <c r="E478" t="inlineStr">
        <is>
          <t>Dec</t>
        </is>
      </c>
      <c r="F478" t="inlineStr">
        <is>
          <t>North</t>
        </is>
      </c>
      <c r="G478" t="inlineStr">
        <is>
          <t>Enterprise</t>
        </is>
      </c>
      <c r="H478" t="inlineStr">
        <is>
          <t>Partner</t>
        </is>
      </c>
      <c r="I478" t="inlineStr">
        <is>
          <t>Add-ons</t>
        </is>
      </c>
      <c r="J478" t="inlineStr">
        <is>
          <t>Support Plus</t>
        </is>
      </c>
      <c r="K478" t="inlineStr">
        <is>
          <t>E. Nair</t>
        </is>
      </c>
      <c r="L478" t="n">
        <v>37</v>
      </c>
      <c r="M478" s="3" t="n">
        <v>1510.35</v>
      </c>
      <c r="N478" s="3">
        <f>L478*M478</f>
        <v/>
      </c>
      <c r="O478" s="3">
        <f>N478*0.384</f>
        <v/>
      </c>
      <c r="P478" s="3">
        <f>N478-O478</f>
        <v/>
      </c>
      <c r="Q478" s="4">
        <f>IF(N478=0,0,P478/N478)</f>
        <v/>
      </c>
    </row>
    <row r="479">
      <c r="A479" t="inlineStr">
        <is>
          <t>ORD-1477</t>
        </is>
      </c>
      <c r="B479" s="2" t="n">
        <v>45386</v>
      </c>
      <c r="C479" t="n">
        <v>2024</v>
      </c>
      <c r="D479" t="inlineStr">
        <is>
          <t>Q2</t>
        </is>
      </c>
      <c r="E479" t="inlineStr">
        <is>
          <t>Apr</t>
        </is>
      </c>
      <c r="F479" t="inlineStr">
        <is>
          <t>West</t>
        </is>
      </c>
      <c r="G479" t="inlineStr">
        <is>
          <t>SMB</t>
        </is>
      </c>
      <c r="H479" t="inlineStr">
        <is>
          <t>Partner</t>
        </is>
      </c>
      <c r="I479" t="inlineStr">
        <is>
          <t>Services</t>
        </is>
      </c>
      <c r="J479" t="inlineStr">
        <is>
          <t>Onboarding</t>
        </is>
      </c>
      <c r="K479" t="inlineStr">
        <is>
          <t>B. Khan</t>
        </is>
      </c>
      <c r="L479" t="n">
        <v>33</v>
      </c>
      <c r="M479" s="3" t="n">
        <v>650.62</v>
      </c>
      <c r="N479" s="3">
        <f>L479*M479</f>
        <v/>
      </c>
      <c r="O479" s="3">
        <f>N479*0.185</f>
        <v/>
      </c>
      <c r="P479" s="3">
        <f>N479-O479</f>
        <v/>
      </c>
      <c r="Q479" s="4">
        <f>IF(N479=0,0,P479/N479)</f>
        <v/>
      </c>
    </row>
    <row r="480">
      <c r="A480" t="inlineStr">
        <is>
          <t>ORD-1478</t>
        </is>
      </c>
      <c r="B480" s="2" t="n">
        <v>45631</v>
      </c>
      <c r="C480" t="n">
        <v>2024</v>
      </c>
      <c r="D480" t="inlineStr">
        <is>
          <t>Q4</t>
        </is>
      </c>
      <c r="E480" t="inlineStr">
        <is>
          <t>Dec</t>
        </is>
      </c>
      <c r="F480" t="inlineStr">
        <is>
          <t>West</t>
        </is>
      </c>
      <c r="G480" t="inlineStr">
        <is>
          <t>Enterprise</t>
        </is>
      </c>
      <c r="H480" t="inlineStr">
        <is>
          <t>Self-serve</t>
        </is>
      </c>
      <c r="I480" t="inlineStr">
        <is>
          <t>Add-ons</t>
        </is>
      </c>
      <c r="J480" t="inlineStr">
        <is>
          <t>Support Plus</t>
        </is>
      </c>
      <c r="K480" t="inlineStr">
        <is>
          <t>A. Rao</t>
        </is>
      </c>
      <c r="L480" t="n">
        <v>24</v>
      </c>
      <c r="M480" s="3" t="n">
        <v>945.86</v>
      </c>
      <c r="N480" s="3">
        <f>L480*M480</f>
        <v/>
      </c>
      <c r="O480" s="3">
        <f>N480*0.416</f>
        <v/>
      </c>
      <c r="P480" s="3">
        <f>N480-O480</f>
        <v/>
      </c>
      <c r="Q480" s="4">
        <f>IF(N480=0,0,P480/N480)</f>
        <v/>
      </c>
    </row>
    <row r="481">
      <c r="A481" t="inlineStr">
        <is>
          <t>ORD-1479</t>
        </is>
      </c>
      <c r="B481" s="2" t="n">
        <v>45469</v>
      </c>
      <c r="C481" t="n">
        <v>2024</v>
      </c>
      <c r="D481" t="inlineStr">
        <is>
          <t>Q2</t>
        </is>
      </c>
      <c r="E481" t="inlineStr">
        <is>
          <t>Jun</t>
        </is>
      </c>
      <c r="F481" t="inlineStr">
        <is>
          <t>South</t>
        </is>
      </c>
      <c r="G481" t="inlineStr">
        <is>
          <t>SMB</t>
        </is>
      </c>
      <c r="H481" t="inlineStr">
        <is>
          <t>Self-serve</t>
        </is>
      </c>
      <c r="I481" t="inlineStr">
        <is>
          <t>Add-ons</t>
        </is>
      </c>
      <c r="J481" t="inlineStr">
        <is>
          <t>Analytics</t>
        </is>
      </c>
      <c r="K481" t="inlineStr">
        <is>
          <t>C. Mehta</t>
        </is>
      </c>
      <c r="L481" t="n">
        <v>42</v>
      </c>
      <c r="M481" s="3" t="n">
        <v>1650.14</v>
      </c>
      <c r="N481" s="3">
        <f>L481*M481</f>
        <v/>
      </c>
      <c r="O481" s="3">
        <f>N481*0.336</f>
        <v/>
      </c>
      <c r="P481" s="3">
        <f>N481-O481</f>
        <v/>
      </c>
      <c r="Q481" s="4">
        <f>IF(N481=0,0,P481/N481)</f>
        <v/>
      </c>
    </row>
    <row r="482">
      <c r="A482" t="inlineStr">
        <is>
          <t>ORD-1480</t>
        </is>
      </c>
      <c r="B482" s="2" t="n">
        <v>45350</v>
      </c>
      <c r="C482" t="n">
        <v>2024</v>
      </c>
      <c r="D482" t="inlineStr">
        <is>
          <t>Q1</t>
        </is>
      </c>
      <c r="E482" t="inlineStr">
        <is>
          <t>Feb</t>
        </is>
      </c>
      <c r="F482" t="inlineStr">
        <is>
          <t>North</t>
        </is>
      </c>
      <c r="G482" t="inlineStr">
        <is>
          <t>Enterprise</t>
        </is>
      </c>
      <c r="H482" t="inlineStr">
        <is>
          <t>Partner</t>
        </is>
      </c>
      <c r="I482" t="inlineStr">
        <is>
          <t>Add-ons</t>
        </is>
      </c>
      <c r="J482" t="inlineStr">
        <is>
          <t>Support Plus</t>
        </is>
      </c>
      <c r="K482" t="inlineStr">
        <is>
          <t>E. Nair</t>
        </is>
      </c>
      <c r="L482" t="n">
        <v>35</v>
      </c>
      <c r="M482" s="3" t="n">
        <v>1892.75</v>
      </c>
      <c r="N482" s="3">
        <f>L482*M482</f>
        <v/>
      </c>
      <c r="O482" s="3">
        <f>N482*0.209</f>
        <v/>
      </c>
      <c r="P482" s="3">
        <f>N482-O482</f>
        <v/>
      </c>
      <c r="Q482" s="4">
        <f>IF(N482=0,0,P482/N482)</f>
        <v/>
      </c>
    </row>
    <row r="483">
      <c r="A483" t="inlineStr">
        <is>
          <t>ORD-1481</t>
        </is>
      </c>
      <c r="B483" s="2" t="n">
        <v>45520</v>
      </c>
      <c r="C483" t="n">
        <v>2024</v>
      </c>
      <c r="D483" t="inlineStr">
        <is>
          <t>Q3</t>
        </is>
      </c>
      <c r="E483" t="inlineStr">
        <is>
          <t>Aug</t>
        </is>
      </c>
      <c r="F483" t="inlineStr">
        <is>
          <t>South</t>
        </is>
      </c>
      <c r="G483" t="inlineStr">
        <is>
          <t>Mid-Market</t>
        </is>
      </c>
      <c r="H483" t="inlineStr">
        <is>
          <t>Self-serve</t>
        </is>
      </c>
      <c r="I483" t="inlineStr">
        <is>
          <t>Add-ons</t>
        </is>
      </c>
      <c r="J483" t="inlineStr">
        <is>
          <t>Analytics</t>
        </is>
      </c>
      <c r="K483" t="inlineStr">
        <is>
          <t>A. Rao</t>
        </is>
      </c>
      <c r="L483" t="n">
        <v>19</v>
      </c>
      <c r="M483" s="3" t="n">
        <v>2276.22</v>
      </c>
      <c r="N483" s="3">
        <f>L483*M483</f>
        <v/>
      </c>
      <c r="O483" s="3">
        <f>N483*0.166</f>
        <v/>
      </c>
      <c r="P483" s="3">
        <f>N483-O483</f>
        <v/>
      </c>
      <c r="Q483" s="4">
        <f>IF(N483=0,0,P483/N483)</f>
        <v/>
      </c>
    </row>
    <row r="484">
      <c r="A484" t="inlineStr">
        <is>
          <t>ORD-1482</t>
        </is>
      </c>
      <c r="B484" s="2" t="n">
        <v>45377</v>
      </c>
      <c r="C484" t="n">
        <v>2024</v>
      </c>
      <c r="D484" t="inlineStr">
        <is>
          <t>Q1</t>
        </is>
      </c>
      <c r="E484" t="inlineStr">
        <is>
          <t>Mar</t>
        </is>
      </c>
      <c r="F484" t="inlineStr">
        <is>
          <t>South</t>
        </is>
      </c>
      <c r="G484" t="inlineStr">
        <is>
          <t>Enterprise</t>
        </is>
      </c>
      <c r="H484" t="inlineStr">
        <is>
          <t>Partner</t>
        </is>
      </c>
      <c r="I484" t="inlineStr">
        <is>
          <t>Services</t>
        </is>
      </c>
      <c r="J484" t="inlineStr">
        <is>
          <t>Onboarding</t>
        </is>
      </c>
      <c r="K484" t="inlineStr">
        <is>
          <t>A. Rao</t>
        </is>
      </c>
      <c r="L484" t="n">
        <v>41</v>
      </c>
      <c r="M484" s="3" t="n">
        <v>444.04</v>
      </c>
      <c r="N484" s="3">
        <f>L484*M484</f>
        <v/>
      </c>
      <c r="O484" s="3">
        <f>N484*0.388</f>
        <v/>
      </c>
      <c r="P484" s="3">
        <f>N484-O484</f>
        <v/>
      </c>
      <c r="Q484" s="4">
        <f>IF(N484=0,0,P484/N484)</f>
        <v/>
      </c>
    </row>
    <row r="485">
      <c r="A485" t="inlineStr">
        <is>
          <t>ORD-1483</t>
        </is>
      </c>
      <c r="B485" s="2" t="n">
        <v>45651</v>
      </c>
      <c r="C485" t="n">
        <v>2024</v>
      </c>
      <c r="D485" t="inlineStr">
        <is>
          <t>Q4</t>
        </is>
      </c>
      <c r="E485" t="inlineStr">
        <is>
          <t>Dec</t>
        </is>
      </c>
      <c r="F485" t="inlineStr">
        <is>
          <t>North</t>
        </is>
      </c>
      <c r="G485" t="inlineStr">
        <is>
          <t>Enterprise</t>
        </is>
      </c>
      <c r="H485" t="inlineStr">
        <is>
          <t>Self-serve</t>
        </is>
      </c>
      <c r="I485" t="inlineStr">
        <is>
          <t>Services</t>
        </is>
      </c>
      <c r="J485" t="inlineStr">
        <is>
          <t>Training</t>
        </is>
      </c>
      <c r="K485" t="inlineStr">
        <is>
          <t>B. Khan</t>
        </is>
      </c>
      <c r="L485" t="n">
        <v>42</v>
      </c>
      <c r="M485" s="3" t="n">
        <v>2096.86</v>
      </c>
      <c r="N485" s="3">
        <f>L485*M485</f>
        <v/>
      </c>
      <c r="O485" s="3">
        <f>N485*0.443</f>
        <v/>
      </c>
      <c r="P485" s="3">
        <f>N485-O485</f>
        <v/>
      </c>
      <c r="Q485" s="4">
        <f>IF(N485=0,0,P485/N485)</f>
        <v/>
      </c>
    </row>
    <row r="486">
      <c r="A486" t="inlineStr">
        <is>
          <t>ORD-1484</t>
        </is>
      </c>
      <c r="B486" s="2" t="n">
        <v>45461</v>
      </c>
      <c r="C486" t="n">
        <v>2024</v>
      </c>
      <c r="D486" t="inlineStr">
        <is>
          <t>Q2</t>
        </is>
      </c>
      <c r="E486" t="inlineStr">
        <is>
          <t>Jun</t>
        </is>
      </c>
      <c r="F486" t="inlineStr">
        <is>
          <t>East</t>
        </is>
      </c>
      <c r="G486" t="inlineStr">
        <is>
          <t>Enterprise</t>
        </is>
      </c>
      <c r="H486" t="inlineStr">
        <is>
          <t>Direct</t>
        </is>
      </c>
      <c r="I486" t="inlineStr">
        <is>
          <t>Subscriptions</t>
        </is>
      </c>
      <c r="J486" t="inlineStr">
        <is>
          <t>Starter</t>
        </is>
      </c>
      <c r="K486" t="inlineStr">
        <is>
          <t>E. Nair</t>
        </is>
      </c>
      <c r="L486" t="n">
        <v>5</v>
      </c>
      <c r="M486" s="3" t="n">
        <v>419.39</v>
      </c>
      <c r="N486" s="3">
        <f>L486*M486</f>
        <v/>
      </c>
      <c r="O486" s="3">
        <f>N486*0.204</f>
        <v/>
      </c>
      <c r="P486" s="3">
        <f>N486-O486</f>
        <v/>
      </c>
      <c r="Q486" s="4">
        <f>IF(N486=0,0,P486/N486)</f>
        <v/>
      </c>
    </row>
    <row r="487">
      <c r="A487" t="inlineStr">
        <is>
          <t>ORD-1485</t>
        </is>
      </c>
      <c r="B487" s="2" t="n">
        <v>45424</v>
      </c>
      <c r="C487" t="n">
        <v>2024</v>
      </c>
      <c r="D487" t="inlineStr">
        <is>
          <t>Q2</t>
        </is>
      </c>
      <c r="E487" t="inlineStr">
        <is>
          <t>May</t>
        </is>
      </c>
      <c r="F487" t="inlineStr">
        <is>
          <t>West</t>
        </is>
      </c>
      <c r="G487" t="inlineStr">
        <is>
          <t>Mid-Market</t>
        </is>
      </c>
      <c r="H487" t="inlineStr">
        <is>
          <t>Direct</t>
        </is>
      </c>
      <c r="I487" t="inlineStr">
        <is>
          <t>Add-ons</t>
        </is>
      </c>
      <c r="J487" t="inlineStr">
        <is>
          <t>Support Plus</t>
        </is>
      </c>
      <c r="K487" t="inlineStr">
        <is>
          <t>D. Iyer</t>
        </is>
      </c>
      <c r="L487" t="n">
        <v>29</v>
      </c>
      <c r="M487" s="3" t="n">
        <v>1686.48</v>
      </c>
      <c r="N487" s="3">
        <f>L487*M487</f>
        <v/>
      </c>
      <c r="O487" s="3">
        <f>N487*0.248</f>
        <v/>
      </c>
      <c r="P487" s="3">
        <f>N487-O487</f>
        <v/>
      </c>
      <c r="Q487" s="4">
        <f>IF(N487=0,0,P487/N487)</f>
        <v/>
      </c>
    </row>
    <row r="488">
      <c r="A488" t="inlineStr">
        <is>
          <t>ORD-1486</t>
        </is>
      </c>
      <c r="B488" s="2" t="n">
        <v>45565</v>
      </c>
      <c r="C488" t="n">
        <v>2024</v>
      </c>
      <c r="D488" t="inlineStr">
        <is>
          <t>Q3</t>
        </is>
      </c>
      <c r="E488" t="inlineStr">
        <is>
          <t>Sep</t>
        </is>
      </c>
      <c r="F488" t="inlineStr">
        <is>
          <t>North</t>
        </is>
      </c>
      <c r="G488" t="inlineStr">
        <is>
          <t>Enterprise</t>
        </is>
      </c>
      <c r="H488" t="inlineStr">
        <is>
          <t>Direct</t>
        </is>
      </c>
      <c r="I488" t="inlineStr">
        <is>
          <t>Subscriptions</t>
        </is>
      </c>
      <c r="J488" t="inlineStr">
        <is>
          <t>Enterprise</t>
        </is>
      </c>
      <c r="K488" t="inlineStr">
        <is>
          <t>C. Mehta</t>
        </is>
      </c>
      <c r="L488" t="n">
        <v>47</v>
      </c>
      <c r="M488" s="3" t="n">
        <v>1660.37</v>
      </c>
      <c r="N488" s="3">
        <f>L488*M488</f>
        <v/>
      </c>
      <c r="O488" s="3">
        <f>N488*0.172</f>
        <v/>
      </c>
      <c r="P488" s="3">
        <f>N488-O488</f>
        <v/>
      </c>
      <c r="Q488" s="4">
        <f>IF(N488=0,0,P488/N488)</f>
        <v/>
      </c>
    </row>
    <row r="489">
      <c r="A489" t="inlineStr">
        <is>
          <t>ORD-1487</t>
        </is>
      </c>
      <c r="B489" s="2" t="n">
        <v>45346</v>
      </c>
      <c r="C489" t="n">
        <v>2024</v>
      </c>
      <c r="D489" t="inlineStr">
        <is>
          <t>Q1</t>
        </is>
      </c>
      <c r="E489" t="inlineStr">
        <is>
          <t>Feb</t>
        </is>
      </c>
      <c r="F489" t="inlineStr">
        <is>
          <t>East</t>
        </is>
      </c>
      <c r="G489" t="inlineStr">
        <is>
          <t>Mid-Market</t>
        </is>
      </c>
      <c r="H489" t="inlineStr">
        <is>
          <t>Partner</t>
        </is>
      </c>
      <c r="I489" t="inlineStr">
        <is>
          <t>Add-ons</t>
        </is>
      </c>
      <c r="J489" t="inlineStr">
        <is>
          <t>Extra Seats</t>
        </is>
      </c>
      <c r="K489" t="inlineStr">
        <is>
          <t>D. Iyer</t>
        </is>
      </c>
      <c r="L489" t="n">
        <v>20</v>
      </c>
      <c r="M489" s="3" t="n">
        <v>1634.44</v>
      </c>
      <c r="N489" s="3">
        <f>L489*M489</f>
        <v/>
      </c>
      <c r="O489" s="3">
        <f>N489*0.203</f>
        <v/>
      </c>
      <c r="P489" s="3">
        <f>N489-O489</f>
        <v/>
      </c>
      <c r="Q489" s="4">
        <f>IF(N489=0,0,P489/N489)</f>
        <v/>
      </c>
    </row>
    <row r="490">
      <c r="A490" t="inlineStr">
        <is>
          <t>ORD-1488</t>
        </is>
      </c>
      <c r="B490" s="2" t="n">
        <v>45307</v>
      </c>
      <c r="C490" t="n">
        <v>2024</v>
      </c>
      <c r="D490" t="inlineStr">
        <is>
          <t>Q1</t>
        </is>
      </c>
      <c r="E490" t="inlineStr">
        <is>
          <t>Jan</t>
        </is>
      </c>
      <c r="F490" t="inlineStr">
        <is>
          <t>West</t>
        </is>
      </c>
      <c r="G490" t="inlineStr">
        <is>
          <t>Enterprise</t>
        </is>
      </c>
      <c r="H490" t="inlineStr">
        <is>
          <t>Partner</t>
        </is>
      </c>
      <c r="I490" t="inlineStr">
        <is>
          <t>Add-ons</t>
        </is>
      </c>
      <c r="J490" t="inlineStr">
        <is>
          <t>Analytics</t>
        </is>
      </c>
      <c r="K490" t="inlineStr">
        <is>
          <t>F. Shah</t>
        </is>
      </c>
      <c r="L490" t="n">
        <v>35</v>
      </c>
      <c r="M490" s="3" t="n">
        <v>783.7</v>
      </c>
      <c r="N490" s="3">
        <f>L490*M490</f>
        <v/>
      </c>
      <c r="O490" s="3">
        <f>N490*0.407</f>
        <v/>
      </c>
      <c r="P490" s="3">
        <f>N490-O490</f>
        <v/>
      </c>
      <c r="Q490" s="4">
        <f>IF(N490=0,0,P490/N490)</f>
        <v/>
      </c>
    </row>
    <row r="491">
      <c r="A491" t="inlineStr">
        <is>
          <t>ORD-1489</t>
        </is>
      </c>
      <c r="B491" s="2" t="n">
        <v>45638</v>
      </c>
      <c r="C491" t="n">
        <v>2024</v>
      </c>
      <c r="D491" t="inlineStr">
        <is>
          <t>Q4</t>
        </is>
      </c>
      <c r="E491" t="inlineStr">
        <is>
          <t>Dec</t>
        </is>
      </c>
      <c r="F491" t="inlineStr">
        <is>
          <t>South</t>
        </is>
      </c>
      <c r="G491" t="inlineStr">
        <is>
          <t>SMB</t>
        </is>
      </c>
      <c r="H491" t="inlineStr">
        <is>
          <t>Direct</t>
        </is>
      </c>
      <c r="I491" t="inlineStr">
        <is>
          <t>Services</t>
        </is>
      </c>
      <c r="J491" t="inlineStr">
        <is>
          <t>Training</t>
        </is>
      </c>
      <c r="K491" t="inlineStr">
        <is>
          <t>A. Rao</t>
        </is>
      </c>
      <c r="L491" t="n">
        <v>1</v>
      </c>
      <c r="M491" s="3" t="n">
        <v>1517.75</v>
      </c>
      <c r="N491" s="3">
        <f>L491*M491</f>
        <v/>
      </c>
      <c r="O491" s="3">
        <f>N491*0.278</f>
        <v/>
      </c>
      <c r="P491" s="3">
        <f>N491-O491</f>
        <v/>
      </c>
      <c r="Q491" s="4">
        <f>IF(N491=0,0,P491/N491)</f>
        <v/>
      </c>
    </row>
    <row r="492">
      <c r="A492" t="inlineStr">
        <is>
          <t>ORD-1490</t>
        </is>
      </c>
      <c r="B492" s="2" t="n">
        <v>45493</v>
      </c>
      <c r="C492" t="n">
        <v>2024</v>
      </c>
      <c r="D492" t="inlineStr">
        <is>
          <t>Q3</t>
        </is>
      </c>
      <c r="E492" t="inlineStr">
        <is>
          <t>Jul</t>
        </is>
      </c>
      <c r="F492" t="inlineStr">
        <is>
          <t>East</t>
        </is>
      </c>
      <c r="G492" t="inlineStr">
        <is>
          <t>SMB</t>
        </is>
      </c>
      <c r="H492" t="inlineStr">
        <is>
          <t>Partner</t>
        </is>
      </c>
      <c r="I492" t="inlineStr">
        <is>
          <t>Services</t>
        </is>
      </c>
      <c r="J492" t="inlineStr">
        <is>
          <t>Onboarding</t>
        </is>
      </c>
      <c r="K492" t="inlineStr">
        <is>
          <t>F. Shah</t>
        </is>
      </c>
      <c r="L492" t="n">
        <v>20</v>
      </c>
      <c r="M492" s="3" t="n">
        <v>762.12</v>
      </c>
      <c r="N492" s="3">
        <f>L492*M492</f>
        <v/>
      </c>
      <c r="O492" s="3">
        <f>N492*0.195</f>
        <v/>
      </c>
      <c r="P492" s="3">
        <f>N492-O492</f>
        <v/>
      </c>
      <c r="Q492" s="4">
        <f>IF(N492=0,0,P492/N492)</f>
        <v/>
      </c>
    </row>
    <row r="493">
      <c r="A493" t="inlineStr">
        <is>
          <t>ORD-1491</t>
        </is>
      </c>
      <c r="B493" s="2" t="n">
        <v>45364</v>
      </c>
      <c r="C493" t="n">
        <v>2024</v>
      </c>
      <c r="D493" t="inlineStr">
        <is>
          <t>Q1</t>
        </is>
      </c>
      <c r="E493" t="inlineStr">
        <is>
          <t>Mar</t>
        </is>
      </c>
      <c r="F493" t="inlineStr">
        <is>
          <t>East</t>
        </is>
      </c>
      <c r="G493" t="inlineStr">
        <is>
          <t>SMB</t>
        </is>
      </c>
      <c r="H493" t="inlineStr">
        <is>
          <t>Direct</t>
        </is>
      </c>
      <c r="I493" t="inlineStr">
        <is>
          <t>Subscriptions</t>
        </is>
      </c>
      <c r="J493" t="inlineStr">
        <is>
          <t>Starter</t>
        </is>
      </c>
      <c r="K493" t="inlineStr">
        <is>
          <t>B. Khan</t>
        </is>
      </c>
      <c r="L493" t="n">
        <v>15</v>
      </c>
      <c r="M493" s="3" t="n">
        <v>1657.15</v>
      </c>
      <c r="N493" s="3">
        <f>L493*M493</f>
        <v/>
      </c>
      <c r="O493" s="3">
        <f>N493*0.249</f>
        <v/>
      </c>
      <c r="P493" s="3">
        <f>N493-O493</f>
        <v/>
      </c>
      <c r="Q493" s="4">
        <f>IF(N493=0,0,P493/N493)</f>
        <v/>
      </c>
    </row>
    <row r="494">
      <c r="A494" t="inlineStr">
        <is>
          <t>ORD-1492</t>
        </is>
      </c>
      <c r="B494" s="2" t="n">
        <v>45582</v>
      </c>
      <c r="C494" t="n">
        <v>2024</v>
      </c>
      <c r="D494" t="inlineStr">
        <is>
          <t>Q4</t>
        </is>
      </c>
      <c r="E494" t="inlineStr">
        <is>
          <t>Oct</t>
        </is>
      </c>
      <c r="F494" t="inlineStr">
        <is>
          <t>North</t>
        </is>
      </c>
      <c r="G494" t="inlineStr">
        <is>
          <t>Mid-Market</t>
        </is>
      </c>
      <c r="H494" t="inlineStr">
        <is>
          <t>Self-serve</t>
        </is>
      </c>
      <c r="I494" t="inlineStr">
        <is>
          <t>Subscriptions</t>
        </is>
      </c>
      <c r="J494" t="inlineStr">
        <is>
          <t>Enterprise</t>
        </is>
      </c>
      <c r="K494" t="inlineStr">
        <is>
          <t>A. Rao</t>
        </is>
      </c>
      <c r="L494" t="n">
        <v>30</v>
      </c>
      <c r="M494" s="3" t="n">
        <v>1718.28</v>
      </c>
      <c r="N494" s="3">
        <f>L494*M494</f>
        <v/>
      </c>
      <c r="O494" s="3">
        <f>N494*0.375</f>
        <v/>
      </c>
      <c r="P494" s="3">
        <f>N494-O494</f>
        <v/>
      </c>
      <c r="Q494" s="4">
        <f>IF(N494=0,0,P494/N494)</f>
        <v/>
      </c>
    </row>
    <row r="495">
      <c r="A495" t="inlineStr">
        <is>
          <t>ORD-1493</t>
        </is>
      </c>
      <c r="B495" s="2" t="n">
        <v>45393</v>
      </c>
      <c r="C495" t="n">
        <v>2024</v>
      </c>
      <c r="D495" t="inlineStr">
        <is>
          <t>Q2</t>
        </is>
      </c>
      <c r="E495" t="inlineStr">
        <is>
          <t>Apr</t>
        </is>
      </c>
      <c r="F495" t="inlineStr">
        <is>
          <t>South</t>
        </is>
      </c>
      <c r="G495" t="inlineStr">
        <is>
          <t>SMB</t>
        </is>
      </c>
      <c r="H495" t="inlineStr">
        <is>
          <t>Partner</t>
        </is>
      </c>
      <c r="I495" t="inlineStr">
        <is>
          <t>Services</t>
        </is>
      </c>
      <c r="J495" t="inlineStr">
        <is>
          <t>Training</t>
        </is>
      </c>
      <c r="K495" t="inlineStr">
        <is>
          <t>E. Nair</t>
        </is>
      </c>
      <c r="L495" t="n">
        <v>22</v>
      </c>
      <c r="M495" s="3" t="n">
        <v>1085.7</v>
      </c>
      <c r="N495" s="3">
        <f>L495*M495</f>
        <v/>
      </c>
      <c r="O495" s="3">
        <f>N495*0.429</f>
        <v/>
      </c>
      <c r="P495" s="3">
        <f>N495-O495</f>
        <v/>
      </c>
      <c r="Q495" s="4">
        <f>IF(N495=0,0,P495/N495)</f>
        <v/>
      </c>
    </row>
    <row r="496">
      <c r="A496" t="inlineStr">
        <is>
          <t>ORD-1494</t>
        </is>
      </c>
      <c r="B496" s="2" t="n">
        <v>45391</v>
      </c>
      <c r="C496" t="n">
        <v>2024</v>
      </c>
      <c r="D496" t="inlineStr">
        <is>
          <t>Q2</t>
        </is>
      </c>
      <c r="E496" t="inlineStr">
        <is>
          <t>Apr</t>
        </is>
      </c>
      <c r="F496" t="inlineStr">
        <is>
          <t>East</t>
        </is>
      </c>
      <c r="G496" t="inlineStr">
        <is>
          <t>Enterprise</t>
        </is>
      </c>
      <c r="H496" t="inlineStr">
        <is>
          <t>Self-serve</t>
        </is>
      </c>
      <c r="I496" t="inlineStr">
        <is>
          <t>Add-ons</t>
        </is>
      </c>
      <c r="J496" t="inlineStr">
        <is>
          <t>Support Plus</t>
        </is>
      </c>
      <c r="K496" t="inlineStr">
        <is>
          <t>B. Khan</t>
        </is>
      </c>
      <c r="L496" t="n">
        <v>29</v>
      </c>
      <c r="M496" s="3" t="n">
        <v>1022.36</v>
      </c>
      <c r="N496" s="3">
        <f>L496*M496</f>
        <v/>
      </c>
      <c r="O496" s="3">
        <f>N496*0.28</f>
        <v/>
      </c>
      <c r="P496" s="3">
        <f>N496-O496</f>
        <v/>
      </c>
      <c r="Q496" s="4">
        <f>IF(N496=0,0,P496/N496)</f>
        <v/>
      </c>
    </row>
    <row r="497">
      <c r="A497" t="inlineStr">
        <is>
          <t>ORD-1495</t>
        </is>
      </c>
      <c r="B497" s="2" t="n">
        <v>45478</v>
      </c>
      <c r="C497" t="n">
        <v>2024</v>
      </c>
      <c r="D497" t="inlineStr">
        <is>
          <t>Q3</t>
        </is>
      </c>
      <c r="E497" t="inlineStr">
        <is>
          <t>Jul</t>
        </is>
      </c>
      <c r="F497" t="inlineStr">
        <is>
          <t>South</t>
        </is>
      </c>
      <c r="G497" t="inlineStr">
        <is>
          <t>SMB</t>
        </is>
      </c>
      <c r="H497" t="inlineStr">
        <is>
          <t>Self-serve</t>
        </is>
      </c>
      <c r="I497" t="inlineStr">
        <is>
          <t>Add-ons</t>
        </is>
      </c>
      <c r="J497" t="inlineStr">
        <is>
          <t>Support Plus</t>
        </is>
      </c>
      <c r="K497" t="inlineStr">
        <is>
          <t>F. Shah</t>
        </is>
      </c>
      <c r="L497" t="n">
        <v>11</v>
      </c>
      <c r="M497" s="3" t="n">
        <v>310.63</v>
      </c>
      <c r="N497" s="3">
        <f>L497*M497</f>
        <v/>
      </c>
      <c r="O497" s="3">
        <f>N497*0.258</f>
        <v/>
      </c>
      <c r="P497" s="3">
        <f>N497-O497</f>
        <v/>
      </c>
      <c r="Q497" s="4">
        <f>IF(N497=0,0,P497/N497)</f>
        <v/>
      </c>
    </row>
    <row r="498">
      <c r="A498" t="inlineStr">
        <is>
          <t>ORD-1496</t>
        </is>
      </c>
      <c r="B498" s="2" t="n">
        <v>45433</v>
      </c>
      <c r="C498" t="n">
        <v>2024</v>
      </c>
      <c r="D498" t="inlineStr">
        <is>
          <t>Q2</t>
        </is>
      </c>
      <c r="E498" t="inlineStr">
        <is>
          <t>May</t>
        </is>
      </c>
      <c r="F498" t="inlineStr">
        <is>
          <t>West</t>
        </is>
      </c>
      <c r="G498" t="inlineStr">
        <is>
          <t>Mid-Market</t>
        </is>
      </c>
      <c r="H498" t="inlineStr">
        <is>
          <t>Partner</t>
        </is>
      </c>
      <c r="I498" t="inlineStr">
        <is>
          <t>Add-ons</t>
        </is>
      </c>
      <c r="J498" t="inlineStr">
        <is>
          <t>Analytics</t>
        </is>
      </c>
      <c r="K498" t="inlineStr">
        <is>
          <t>C. Mehta</t>
        </is>
      </c>
      <c r="L498" t="n">
        <v>44</v>
      </c>
      <c r="M498" s="3" t="n">
        <v>1912.54</v>
      </c>
      <c r="N498" s="3">
        <f>L498*M498</f>
        <v/>
      </c>
      <c r="O498" s="3">
        <f>N498*0.218</f>
        <v/>
      </c>
      <c r="P498" s="3">
        <f>N498-O498</f>
        <v/>
      </c>
      <c r="Q498" s="4">
        <f>IF(N498=0,0,P498/N498)</f>
        <v/>
      </c>
    </row>
    <row r="499">
      <c r="A499" t="inlineStr">
        <is>
          <t>ORD-1497</t>
        </is>
      </c>
      <c r="B499" s="2" t="n">
        <v>45541</v>
      </c>
      <c r="C499" t="n">
        <v>2024</v>
      </c>
      <c r="D499" t="inlineStr">
        <is>
          <t>Q3</t>
        </is>
      </c>
      <c r="E499" t="inlineStr">
        <is>
          <t>Sep</t>
        </is>
      </c>
      <c r="F499" t="inlineStr">
        <is>
          <t>North</t>
        </is>
      </c>
      <c r="G499" t="inlineStr">
        <is>
          <t>Mid-Market</t>
        </is>
      </c>
      <c r="H499" t="inlineStr">
        <is>
          <t>Direct</t>
        </is>
      </c>
      <c r="I499" t="inlineStr">
        <is>
          <t>Services</t>
        </is>
      </c>
      <c r="J499" t="inlineStr">
        <is>
          <t>Onboarding</t>
        </is>
      </c>
      <c r="K499" t="inlineStr">
        <is>
          <t>E. Nair</t>
        </is>
      </c>
      <c r="L499" t="n">
        <v>12</v>
      </c>
      <c r="M499" s="3" t="n">
        <v>1720.21</v>
      </c>
      <c r="N499" s="3">
        <f>L499*M499</f>
        <v/>
      </c>
      <c r="O499" s="3">
        <f>N499*0.391</f>
        <v/>
      </c>
      <c r="P499" s="3">
        <f>N499-O499</f>
        <v/>
      </c>
      <c r="Q499" s="4">
        <f>IF(N499=0,0,P499/N499)</f>
        <v/>
      </c>
    </row>
    <row r="500">
      <c r="A500" t="inlineStr">
        <is>
          <t>ORD-1498</t>
        </is>
      </c>
      <c r="B500" s="2" t="n">
        <v>45612</v>
      </c>
      <c r="C500" t="n">
        <v>2024</v>
      </c>
      <c r="D500" t="inlineStr">
        <is>
          <t>Q4</t>
        </is>
      </c>
      <c r="E500" t="inlineStr">
        <is>
          <t>Nov</t>
        </is>
      </c>
      <c r="F500" t="inlineStr">
        <is>
          <t>North</t>
        </is>
      </c>
      <c r="G500" t="inlineStr">
        <is>
          <t>Enterprise</t>
        </is>
      </c>
      <c r="H500" t="inlineStr">
        <is>
          <t>Self-serve</t>
        </is>
      </c>
      <c r="I500" t="inlineStr">
        <is>
          <t>Subscriptions</t>
        </is>
      </c>
      <c r="J500" t="inlineStr">
        <is>
          <t>Enterprise</t>
        </is>
      </c>
      <c r="K500" t="inlineStr">
        <is>
          <t>D. Iyer</t>
        </is>
      </c>
      <c r="L500" t="n">
        <v>5</v>
      </c>
      <c r="M500" s="3" t="n">
        <v>2262.63</v>
      </c>
      <c r="N500" s="3">
        <f>L500*M500</f>
        <v/>
      </c>
      <c r="O500" s="3">
        <f>N500*0.219</f>
        <v/>
      </c>
      <c r="P500" s="3">
        <f>N500-O500</f>
        <v/>
      </c>
      <c r="Q500" s="4">
        <f>IF(N500=0,0,P500/N500)</f>
        <v/>
      </c>
    </row>
    <row r="501">
      <c r="A501" t="inlineStr">
        <is>
          <t>ORD-1499</t>
        </is>
      </c>
      <c r="B501" s="2" t="n">
        <v>45400</v>
      </c>
      <c r="C501" t="n">
        <v>2024</v>
      </c>
      <c r="D501" t="inlineStr">
        <is>
          <t>Q2</t>
        </is>
      </c>
      <c r="E501" t="inlineStr">
        <is>
          <t>Apr</t>
        </is>
      </c>
      <c r="F501" t="inlineStr">
        <is>
          <t>West</t>
        </is>
      </c>
      <c r="G501" t="inlineStr">
        <is>
          <t>Enterprise</t>
        </is>
      </c>
      <c r="H501" t="inlineStr">
        <is>
          <t>Direct</t>
        </is>
      </c>
      <c r="I501" t="inlineStr">
        <is>
          <t>Subscriptions</t>
        </is>
      </c>
      <c r="J501" t="inlineStr">
        <is>
          <t>Enterprise</t>
        </is>
      </c>
      <c r="K501" t="inlineStr">
        <is>
          <t>C. Mehta</t>
        </is>
      </c>
      <c r="L501" t="n">
        <v>17</v>
      </c>
      <c r="M501" s="3" t="n">
        <v>1495.63</v>
      </c>
      <c r="N501" s="3">
        <f>L501*M501</f>
        <v/>
      </c>
      <c r="O501" s="3">
        <f>N501*0.332</f>
        <v/>
      </c>
      <c r="P501" s="3">
        <f>N501-O501</f>
        <v/>
      </c>
      <c r="Q501" s="4">
        <f>IF(N501=0,0,P501/N501)</f>
        <v/>
      </c>
    </row>
    <row r="502">
      <c r="A502" t="inlineStr">
        <is>
          <t>ORD-1500</t>
        </is>
      </c>
      <c r="B502" s="2" t="n">
        <v>45593</v>
      </c>
      <c r="C502" t="n">
        <v>2024</v>
      </c>
      <c r="D502" t="inlineStr">
        <is>
          <t>Q4</t>
        </is>
      </c>
      <c r="E502" t="inlineStr">
        <is>
          <t>Oct</t>
        </is>
      </c>
      <c r="F502" t="inlineStr">
        <is>
          <t>North</t>
        </is>
      </c>
      <c r="G502" t="inlineStr">
        <is>
          <t>Mid-Market</t>
        </is>
      </c>
      <c r="H502" t="inlineStr">
        <is>
          <t>Partner</t>
        </is>
      </c>
      <c r="I502" t="inlineStr">
        <is>
          <t>Services</t>
        </is>
      </c>
      <c r="J502" t="inlineStr">
        <is>
          <t>Training</t>
        </is>
      </c>
      <c r="K502" t="inlineStr">
        <is>
          <t>E. Nair</t>
        </is>
      </c>
      <c r="L502" t="n">
        <v>9</v>
      </c>
      <c r="M502" s="3" t="n">
        <v>1322.34</v>
      </c>
      <c r="N502" s="3">
        <f>L502*M502</f>
        <v/>
      </c>
      <c r="O502" s="3">
        <f>N502*0.447</f>
        <v/>
      </c>
      <c r="P502" s="3">
        <f>N502-O502</f>
        <v/>
      </c>
      <c r="Q502" s="4">
        <f>IF(N502=0,0,P502/N502)</f>
        <v/>
      </c>
    </row>
    <row r="503">
      <c r="A503" t="inlineStr">
        <is>
          <t>ORD-1501</t>
        </is>
      </c>
      <c r="B503" s="2" t="n">
        <v>45414</v>
      </c>
      <c r="C503" t="n">
        <v>2024</v>
      </c>
      <c r="D503" t="inlineStr">
        <is>
          <t>Q2</t>
        </is>
      </c>
      <c r="E503" t="inlineStr">
        <is>
          <t>May</t>
        </is>
      </c>
      <c r="F503" t="inlineStr">
        <is>
          <t>West</t>
        </is>
      </c>
      <c r="G503" t="inlineStr">
        <is>
          <t>SMB</t>
        </is>
      </c>
      <c r="H503" t="inlineStr">
        <is>
          <t>Direct</t>
        </is>
      </c>
      <c r="I503" t="inlineStr">
        <is>
          <t>Services</t>
        </is>
      </c>
      <c r="J503" t="inlineStr">
        <is>
          <t>Onboarding</t>
        </is>
      </c>
      <c r="K503" t="inlineStr">
        <is>
          <t>E. Nair</t>
        </is>
      </c>
      <c r="L503" t="n">
        <v>49</v>
      </c>
      <c r="M503" s="3" t="n">
        <v>1431.1</v>
      </c>
      <c r="N503" s="3">
        <f>L503*M503</f>
        <v/>
      </c>
      <c r="O503" s="3">
        <f>N503*0.165</f>
        <v/>
      </c>
      <c r="P503" s="3">
        <f>N503-O503</f>
        <v/>
      </c>
      <c r="Q503" s="4">
        <f>IF(N503=0,0,P503/N503)</f>
        <v/>
      </c>
    </row>
    <row r="504">
      <c r="A504" t="inlineStr">
        <is>
          <t>ORD-1502</t>
        </is>
      </c>
      <c r="B504" s="2" t="n">
        <v>45629</v>
      </c>
      <c r="C504" t="n">
        <v>2024</v>
      </c>
      <c r="D504" t="inlineStr">
        <is>
          <t>Q4</t>
        </is>
      </c>
      <c r="E504" t="inlineStr">
        <is>
          <t>Dec</t>
        </is>
      </c>
      <c r="F504" t="inlineStr">
        <is>
          <t>East</t>
        </is>
      </c>
      <c r="G504" t="inlineStr">
        <is>
          <t>SMB</t>
        </is>
      </c>
      <c r="H504" t="inlineStr">
        <is>
          <t>Direct</t>
        </is>
      </c>
      <c r="I504" t="inlineStr">
        <is>
          <t>Subscriptions</t>
        </is>
      </c>
      <c r="J504" t="inlineStr">
        <is>
          <t>Enterprise</t>
        </is>
      </c>
      <c r="K504" t="inlineStr">
        <is>
          <t>D. Iyer</t>
        </is>
      </c>
      <c r="L504" t="n">
        <v>47</v>
      </c>
      <c r="M504" s="3" t="n">
        <v>1363.71</v>
      </c>
      <c r="N504" s="3">
        <f>L504*M504</f>
        <v/>
      </c>
      <c r="O504" s="3">
        <f>N504*0.38</f>
        <v/>
      </c>
      <c r="P504" s="3">
        <f>N504-O504</f>
        <v/>
      </c>
      <c r="Q504" s="4">
        <f>IF(N504=0,0,P504/N504)</f>
        <v/>
      </c>
    </row>
    <row r="505">
      <c r="A505" t="inlineStr">
        <is>
          <t>ORD-1503</t>
        </is>
      </c>
      <c r="B505" s="2" t="n">
        <v>45427</v>
      </c>
      <c r="C505" t="n">
        <v>2024</v>
      </c>
      <c r="D505" t="inlineStr">
        <is>
          <t>Q2</t>
        </is>
      </c>
      <c r="E505" t="inlineStr">
        <is>
          <t>May</t>
        </is>
      </c>
      <c r="F505" t="inlineStr">
        <is>
          <t>East</t>
        </is>
      </c>
      <c r="G505" t="inlineStr">
        <is>
          <t>Mid-Market</t>
        </is>
      </c>
      <c r="H505" t="inlineStr">
        <is>
          <t>Partner</t>
        </is>
      </c>
      <c r="I505" t="inlineStr">
        <is>
          <t>Add-ons</t>
        </is>
      </c>
      <c r="J505" t="inlineStr">
        <is>
          <t>Analytics</t>
        </is>
      </c>
      <c r="K505" t="inlineStr">
        <is>
          <t>D. Iyer</t>
        </is>
      </c>
      <c r="L505" t="n">
        <v>3</v>
      </c>
      <c r="M505" s="3" t="n">
        <v>1770.89</v>
      </c>
      <c r="N505" s="3">
        <f>L505*M505</f>
        <v/>
      </c>
      <c r="O505" s="3">
        <f>N505*0.186</f>
        <v/>
      </c>
      <c r="P505" s="3">
        <f>N505-O505</f>
        <v/>
      </c>
      <c r="Q505" s="4">
        <f>IF(N505=0,0,P505/N505)</f>
        <v/>
      </c>
    </row>
    <row r="506">
      <c r="A506" t="inlineStr">
        <is>
          <t>ORD-1504</t>
        </is>
      </c>
      <c r="B506" s="2" t="n">
        <v>45312</v>
      </c>
      <c r="C506" t="n">
        <v>2024</v>
      </c>
      <c r="D506" t="inlineStr">
        <is>
          <t>Q1</t>
        </is>
      </c>
      <c r="E506" t="inlineStr">
        <is>
          <t>Jan</t>
        </is>
      </c>
      <c r="F506" t="inlineStr">
        <is>
          <t>East</t>
        </is>
      </c>
      <c r="G506" t="inlineStr">
        <is>
          <t>Enterprise</t>
        </is>
      </c>
      <c r="H506" t="inlineStr">
        <is>
          <t>Partner</t>
        </is>
      </c>
      <c r="I506" t="inlineStr">
        <is>
          <t>Services</t>
        </is>
      </c>
      <c r="J506" t="inlineStr">
        <is>
          <t>Training</t>
        </is>
      </c>
      <c r="K506" t="inlineStr">
        <is>
          <t>E. Nair</t>
        </is>
      </c>
      <c r="L506" t="n">
        <v>7</v>
      </c>
      <c r="M506" s="3" t="n">
        <v>1848.22</v>
      </c>
      <c r="N506" s="3">
        <f>L506*M506</f>
        <v/>
      </c>
      <c r="O506" s="3">
        <f>N506*0.287</f>
        <v/>
      </c>
      <c r="P506" s="3">
        <f>N506-O506</f>
        <v/>
      </c>
      <c r="Q506" s="4">
        <f>IF(N506=0,0,P506/N506)</f>
        <v/>
      </c>
    </row>
    <row r="507">
      <c r="A507" t="inlineStr">
        <is>
          <t>ORD-1505</t>
        </is>
      </c>
      <c r="B507" s="2" t="n">
        <v>45381</v>
      </c>
      <c r="C507" t="n">
        <v>2024</v>
      </c>
      <c r="D507" t="inlineStr">
        <is>
          <t>Q1</t>
        </is>
      </c>
      <c r="E507" t="inlineStr">
        <is>
          <t>Mar</t>
        </is>
      </c>
      <c r="F507" t="inlineStr">
        <is>
          <t>North</t>
        </is>
      </c>
      <c r="G507" t="inlineStr">
        <is>
          <t>Enterprise</t>
        </is>
      </c>
      <c r="H507" t="inlineStr">
        <is>
          <t>Partner</t>
        </is>
      </c>
      <c r="I507" t="inlineStr">
        <is>
          <t>Add-ons</t>
        </is>
      </c>
      <c r="J507" t="inlineStr">
        <is>
          <t>Extra Seats</t>
        </is>
      </c>
      <c r="K507" t="inlineStr">
        <is>
          <t>D. Iyer</t>
        </is>
      </c>
      <c r="L507" t="n">
        <v>25</v>
      </c>
      <c r="M507" s="3" t="n">
        <v>1103.65</v>
      </c>
      <c r="N507" s="3">
        <f>L507*M507</f>
        <v/>
      </c>
      <c r="O507" s="3">
        <f>N507*0.158</f>
        <v/>
      </c>
      <c r="P507" s="3">
        <f>N507-O507</f>
        <v/>
      </c>
      <c r="Q507" s="4">
        <f>IF(N507=0,0,P507/N507)</f>
        <v/>
      </c>
    </row>
    <row r="508">
      <c r="A508" t="inlineStr">
        <is>
          <t>ORD-1506</t>
        </is>
      </c>
      <c r="B508" s="2" t="n">
        <v>45406</v>
      </c>
      <c r="C508" t="n">
        <v>2024</v>
      </c>
      <c r="D508" t="inlineStr">
        <is>
          <t>Q2</t>
        </is>
      </c>
      <c r="E508" t="inlineStr">
        <is>
          <t>Apr</t>
        </is>
      </c>
      <c r="F508" t="inlineStr">
        <is>
          <t>East</t>
        </is>
      </c>
      <c r="G508" t="inlineStr">
        <is>
          <t>Mid-Market</t>
        </is>
      </c>
      <c r="H508" t="inlineStr">
        <is>
          <t>Partner</t>
        </is>
      </c>
      <c r="I508" t="inlineStr">
        <is>
          <t>Services</t>
        </is>
      </c>
      <c r="J508" t="inlineStr">
        <is>
          <t>Training</t>
        </is>
      </c>
      <c r="K508" t="inlineStr">
        <is>
          <t>E. Nair</t>
        </is>
      </c>
      <c r="L508" t="n">
        <v>23</v>
      </c>
      <c r="M508" s="3" t="n">
        <v>2097.92</v>
      </c>
      <c r="N508" s="3">
        <f>L508*M508</f>
        <v/>
      </c>
      <c r="O508" s="3">
        <f>N508*0.448</f>
        <v/>
      </c>
      <c r="P508" s="3">
        <f>N508-O508</f>
        <v/>
      </c>
      <c r="Q508" s="4">
        <f>IF(N508=0,0,P508/N508)</f>
        <v/>
      </c>
    </row>
    <row r="509">
      <c r="A509" t="inlineStr">
        <is>
          <t>ORD-1507</t>
        </is>
      </c>
      <c r="B509" s="2" t="n">
        <v>45363</v>
      </c>
      <c r="C509" t="n">
        <v>2024</v>
      </c>
      <c r="D509" t="inlineStr">
        <is>
          <t>Q1</t>
        </is>
      </c>
      <c r="E509" t="inlineStr">
        <is>
          <t>Mar</t>
        </is>
      </c>
      <c r="F509" t="inlineStr">
        <is>
          <t>East</t>
        </is>
      </c>
      <c r="G509" t="inlineStr">
        <is>
          <t>SMB</t>
        </is>
      </c>
      <c r="H509" t="inlineStr">
        <is>
          <t>Direct</t>
        </is>
      </c>
      <c r="I509" t="inlineStr">
        <is>
          <t>Add-ons</t>
        </is>
      </c>
      <c r="J509" t="inlineStr">
        <is>
          <t>Analytics</t>
        </is>
      </c>
      <c r="K509" t="inlineStr">
        <is>
          <t>B. Khan</t>
        </is>
      </c>
      <c r="L509" t="n">
        <v>15</v>
      </c>
      <c r="M509" s="3" t="n">
        <v>469.59</v>
      </c>
      <c r="N509" s="3">
        <f>L509*M509</f>
        <v/>
      </c>
      <c r="O509" s="3">
        <f>N509*0.403</f>
        <v/>
      </c>
      <c r="P509" s="3">
        <f>N509-O509</f>
        <v/>
      </c>
      <c r="Q509" s="4">
        <f>IF(N509=0,0,P509/N509)</f>
        <v/>
      </c>
    </row>
    <row r="510">
      <c r="A510" t="inlineStr">
        <is>
          <t>ORD-1508</t>
        </is>
      </c>
      <c r="B510" s="2" t="n">
        <v>45600</v>
      </c>
      <c r="C510" t="n">
        <v>2024</v>
      </c>
      <c r="D510" t="inlineStr">
        <is>
          <t>Q4</t>
        </is>
      </c>
      <c r="E510" t="inlineStr">
        <is>
          <t>Nov</t>
        </is>
      </c>
      <c r="F510" t="inlineStr">
        <is>
          <t>East</t>
        </is>
      </c>
      <c r="G510" t="inlineStr">
        <is>
          <t>Enterprise</t>
        </is>
      </c>
      <c r="H510" t="inlineStr">
        <is>
          <t>Direct</t>
        </is>
      </c>
      <c r="I510" t="inlineStr">
        <is>
          <t>Services</t>
        </is>
      </c>
      <c r="J510" t="inlineStr">
        <is>
          <t>Onboarding</t>
        </is>
      </c>
      <c r="K510" t="inlineStr">
        <is>
          <t>D. Iyer</t>
        </is>
      </c>
      <c r="L510" t="n">
        <v>43</v>
      </c>
      <c r="M510" s="3" t="n">
        <v>806.76</v>
      </c>
      <c r="N510" s="3">
        <f>L510*M510</f>
        <v/>
      </c>
      <c r="O510" s="3">
        <f>N510*0.247</f>
        <v/>
      </c>
      <c r="P510" s="3">
        <f>N510-O510</f>
        <v/>
      </c>
      <c r="Q510" s="4">
        <f>IF(N510=0,0,P510/N510)</f>
        <v/>
      </c>
    </row>
    <row r="511">
      <c r="A511" t="inlineStr">
        <is>
          <t>ORD-1509</t>
        </is>
      </c>
      <c r="B511" s="2" t="n">
        <v>45537</v>
      </c>
      <c r="C511" t="n">
        <v>2024</v>
      </c>
      <c r="D511" t="inlineStr">
        <is>
          <t>Q3</t>
        </is>
      </c>
      <c r="E511" t="inlineStr">
        <is>
          <t>Sep</t>
        </is>
      </c>
      <c r="F511" t="inlineStr">
        <is>
          <t>West</t>
        </is>
      </c>
      <c r="G511" t="inlineStr">
        <is>
          <t>SMB</t>
        </is>
      </c>
      <c r="H511" t="inlineStr">
        <is>
          <t>Direct</t>
        </is>
      </c>
      <c r="I511" t="inlineStr">
        <is>
          <t>Subscriptions</t>
        </is>
      </c>
      <c r="J511" t="inlineStr">
        <is>
          <t>Enterprise</t>
        </is>
      </c>
      <c r="K511" t="inlineStr">
        <is>
          <t>A. Rao</t>
        </is>
      </c>
      <c r="L511" t="n">
        <v>11</v>
      </c>
      <c r="M511" s="3" t="n">
        <v>1723.97</v>
      </c>
      <c r="N511" s="3">
        <f>L511*M511</f>
        <v/>
      </c>
      <c r="O511" s="3">
        <f>N511*0.412</f>
        <v/>
      </c>
      <c r="P511" s="3">
        <f>N511-O511</f>
        <v/>
      </c>
      <c r="Q511" s="4">
        <f>IF(N511=0,0,P511/N511)</f>
        <v/>
      </c>
    </row>
    <row r="512">
      <c r="A512" t="inlineStr">
        <is>
          <t>ORD-1510</t>
        </is>
      </c>
      <c r="B512" s="2" t="n">
        <v>45595</v>
      </c>
      <c r="C512" t="n">
        <v>2024</v>
      </c>
      <c r="D512" t="inlineStr">
        <is>
          <t>Q4</t>
        </is>
      </c>
      <c r="E512" t="inlineStr">
        <is>
          <t>Oct</t>
        </is>
      </c>
      <c r="F512" t="inlineStr">
        <is>
          <t>South</t>
        </is>
      </c>
      <c r="G512" t="inlineStr">
        <is>
          <t>SMB</t>
        </is>
      </c>
      <c r="H512" t="inlineStr">
        <is>
          <t>Direct</t>
        </is>
      </c>
      <c r="I512" t="inlineStr">
        <is>
          <t>Subscriptions</t>
        </is>
      </c>
      <c r="J512" t="inlineStr">
        <is>
          <t>Starter</t>
        </is>
      </c>
      <c r="K512" t="inlineStr">
        <is>
          <t>C. Mehta</t>
        </is>
      </c>
      <c r="L512" t="n">
        <v>41</v>
      </c>
      <c r="M512" s="3" t="n">
        <v>1427.81</v>
      </c>
      <c r="N512" s="3">
        <f>L512*M512</f>
        <v/>
      </c>
      <c r="O512" s="3">
        <f>N512*0.173</f>
        <v/>
      </c>
      <c r="P512" s="3">
        <f>N512-O512</f>
        <v/>
      </c>
      <c r="Q512" s="4">
        <f>IF(N512=0,0,P512/N512)</f>
        <v/>
      </c>
    </row>
    <row r="513">
      <c r="A513" t="inlineStr">
        <is>
          <t>ORD-1511</t>
        </is>
      </c>
      <c r="B513" s="2" t="n">
        <v>45556</v>
      </c>
      <c r="C513" t="n">
        <v>2024</v>
      </c>
      <c r="D513" t="inlineStr">
        <is>
          <t>Q3</t>
        </is>
      </c>
      <c r="E513" t="inlineStr">
        <is>
          <t>Sep</t>
        </is>
      </c>
      <c r="F513" t="inlineStr">
        <is>
          <t>East</t>
        </is>
      </c>
      <c r="G513" t="inlineStr">
        <is>
          <t>SMB</t>
        </is>
      </c>
      <c r="H513" t="inlineStr">
        <is>
          <t>Direct</t>
        </is>
      </c>
      <c r="I513" t="inlineStr">
        <is>
          <t>Add-ons</t>
        </is>
      </c>
      <c r="J513" t="inlineStr">
        <is>
          <t>Extra Seats</t>
        </is>
      </c>
      <c r="K513" t="inlineStr">
        <is>
          <t>D. Iyer</t>
        </is>
      </c>
      <c r="L513" t="n">
        <v>37</v>
      </c>
      <c r="M513" s="3" t="n">
        <v>1702.77</v>
      </c>
      <c r="N513" s="3">
        <f>L513*M513</f>
        <v/>
      </c>
      <c r="O513" s="3">
        <f>N513*0.268</f>
        <v/>
      </c>
      <c r="P513" s="3">
        <f>N513-O513</f>
        <v/>
      </c>
      <c r="Q513" s="4">
        <f>IF(N513=0,0,P513/N513)</f>
        <v/>
      </c>
    </row>
    <row r="514">
      <c r="A514" t="inlineStr">
        <is>
          <t>ORD-1512</t>
        </is>
      </c>
      <c r="B514" s="2" t="n">
        <v>45533</v>
      </c>
      <c r="C514" t="n">
        <v>2024</v>
      </c>
      <c r="D514" t="inlineStr">
        <is>
          <t>Q3</t>
        </is>
      </c>
      <c r="E514" t="inlineStr">
        <is>
          <t>Aug</t>
        </is>
      </c>
      <c r="F514" t="inlineStr">
        <is>
          <t>South</t>
        </is>
      </c>
      <c r="G514" t="inlineStr">
        <is>
          <t>Enterprise</t>
        </is>
      </c>
      <c r="H514" t="inlineStr">
        <is>
          <t>Direct</t>
        </is>
      </c>
      <c r="I514" t="inlineStr">
        <is>
          <t>Add-ons</t>
        </is>
      </c>
      <c r="J514" t="inlineStr">
        <is>
          <t>Analytics</t>
        </is>
      </c>
      <c r="K514" t="inlineStr">
        <is>
          <t>E. Nair</t>
        </is>
      </c>
      <c r="L514" t="n">
        <v>15</v>
      </c>
      <c r="M514" s="3" t="n">
        <v>2126.8</v>
      </c>
      <c r="N514" s="3">
        <f>L514*M514</f>
        <v/>
      </c>
      <c r="O514" s="3">
        <f>N514*0.252</f>
        <v/>
      </c>
      <c r="P514" s="3">
        <f>N514-O514</f>
        <v/>
      </c>
      <c r="Q514" s="4">
        <f>IF(N514=0,0,P514/N514)</f>
        <v/>
      </c>
    </row>
    <row r="515">
      <c r="A515" t="inlineStr">
        <is>
          <t>ORD-1513</t>
        </is>
      </c>
      <c r="B515" s="2" t="n">
        <v>45427</v>
      </c>
      <c r="C515" t="n">
        <v>2024</v>
      </c>
      <c r="D515" t="inlineStr">
        <is>
          <t>Q2</t>
        </is>
      </c>
      <c r="E515" t="inlineStr">
        <is>
          <t>May</t>
        </is>
      </c>
      <c r="F515" t="inlineStr">
        <is>
          <t>West</t>
        </is>
      </c>
      <c r="G515" t="inlineStr">
        <is>
          <t>Enterprise</t>
        </is>
      </c>
      <c r="H515" t="inlineStr">
        <is>
          <t>Self-serve</t>
        </is>
      </c>
      <c r="I515" t="inlineStr">
        <is>
          <t>Subscriptions</t>
        </is>
      </c>
      <c r="J515" t="inlineStr">
        <is>
          <t>Enterprise</t>
        </is>
      </c>
      <c r="K515" t="inlineStr">
        <is>
          <t>A. Rao</t>
        </is>
      </c>
      <c r="L515" t="n">
        <v>44</v>
      </c>
      <c r="M515" s="3" t="n">
        <v>1053.88</v>
      </c>
      <c r="N515" s="3">
        <f>L515*M515</f>
        <v/>
      </c>
      <c r="O515" s="3">
        <f>N515*0.381</f>
        <v/>
      </c>
      <c r="P515" s="3">
        <f>N515-O515</f>
        <v/>
      </c>
      <c r="Q515" s="4">
        <f>IF(N515=0,0,P515/N515)</f>
        <v/>
      </c>
    </row>
    <row r="516">
      <c r="A516" t="inlineStr">
        <is>
          <t>ORD-1514</t>
        </is>
      </c>
      <c r="B516" s="2" t="n">
        <v>45489</v>
      </c>
      <c r="C516" t="n">
        <v>2024</v>
      </c>
      <c r="D516" t="inlineStr">
        <is>
          <t>Q3</t>
        </is>
      </c>
      <c r="E516" t="inlineStr">
        <is>
          <t>Jul</t>
        </is>
      </c>
      <c r="F516" t="inlineStr">
        <is>
          <t>West</t>
        </is>
      </c>
      <c r="G516" t="inlineStr">
        <is>
          <t>SMB</t>
        </is>
      </c>
      <c r="H516" t="inlineStr">
        <is>
          <t>Self-serve</t>
        </is>
      </c>
      <c r="I516" t="inlineStr">
        <is>
          <t>Subscriptions</t>
        </is>
      </c>
      <c r="J516" t="inlineStr">
        <is>
          <t>Starter</t>
        </is>
      </c>
      <c r="K516" t="inlineStr">
        <is>
          <t>A. Rao</t>
        </is>
      </c>
      <c r="L516" t="n">
        <v>2</v>
      </c>
      <c r="M516" s="3" t="n">
        <v>745.17</v>
      </c>
      <c r="N516" s="3">
        <f>L516*M516</f>
        <v/>
      </c>
      <c r="O516" s="3">
        <f>N516*0.397</f>
        <v/>
      </c>
      <c r="P516" s="3">
        <f>N516-O516</f>
        <v/>
      </c>
      <c r="Q516" s="4">
        <f>IF(N516=0,0,P516/N516)</f>
        <v/>
      </c>
    </row>
    <row r="517">
      <c r="A517" t="inlineStr">
        <is>
          <t>ORD-1515</t>
        </is>
      </c>
      <c r="B517" s="2" t="n">
        <v>45606</v>
      </c>
      <c r="C517" t="n">
        <v>2024</v>
      </c>
      <c r="D517" t="inlineStr">
        <is>
          <t>Q4</t>
        </is>
      </c>
      <c r="E517" t="inlineStr">
        <is>
          <t>Nov</t>
        </is>
      </c>
      <c r="F517" t="inlineStr">
        <is>
          <t>North</t>
        </is>
      </c>
      <c r="G517" t="inlineStr">
        <is>
          <t>SMB</t>
        </is>
      </c>
      <c r="H517" t="inlineStr">
        <is>
          <t>Partner</t>
        </is>
      </c>
      <c r="I517" t="inlineStr">
        <is>
          <t>Services</t>
        </is>
      </c>
      <c r="J517" t="inlineStr">
        <is>
          <t>Onboarding</t>
        </is>
      </c>
      <c r="K517" t="inlineStr">
        <is>
          <t>F. Shah</t>
        </is>
      </c>
      <c r="L517" t="n">
        <v>35</v>
      </c>
      <c r="M517" s="3" t="n">
        <v>1407.32</v>
      </c>
      <c r="N517" s="3">
        <f>L517*M517</f>
        <v/>
      </c>
      <c r="O517" s="3">
        <f>N517*0.411</f>
        <v/>
      </c>
      <c r="P517" s="3">
        <f>N517-O517</f>
        <v/>
      </c>
      <c r="Q517" s="4">
        <f>IF(N517=0,0,P517/N517)</f>
        <v/>
      </c>
    </row>
    <row r="518">
      <c r="A518" t="inlineStr">
        <is>
          <t>ORD-1516</t>
        </is>
      </c>
      <c r="B518" s="2" t="n">
        <v>45600</v>
      </c>
      <c r="C518" t="n">
        <v>2024</v>
      </c>
      <c r="D518" t="inlineStr">
        <is>
          <t>Q4</t>
        </is>
      </c>
      <c r="E518" t="inlineStr">
        <is>
          <t>Nov</t>
        </is>
      </c>
      <c r="F518" t="inlineStr">
        <is>
          <t>West</t>
        </is>
      </c>
      <c r="G518" t="inlineStr">
        <is>
          <t>Enterprise</t>
        </is>
      </c>
      <c r="H518" t="inlineStr">
        <is>
          <t>Partner</t>
        </is>
      </c>
      <c r="I518" t="inlineStr">
        <is>
          <t>Services</t>
        </is>
      </c>
      <c r="J518" t="inlineStr">
        <is>
          <t>Onboarding</t>
        </is>
      </c>
      <c r="K518" t="inlineStr">
        <is>
          <t>C. Mehta</t>
        </is>
      </c>
      <c r="L518" t="n">
        <v>50</v>
      </c>
      <c r="M518" s="3" t="n">
        <v>1792.83</v>
      </c>
      <c r="N518" s="3">
        <f>L518*M518</f>
        <v/>
      </c>
      <c r="O518" s="3">
        <f>N518*0.188</f>
        <v/>
      </c>
      <c r="P518" s="3">
        <f>N518-O518</f>
        <v/>
      </c>
      <c r="Q518" s="4">
        <f>IF(N518=0,0,P518/N518)</f>
        <v/>
      </c>
    </row>
    <row r="519">
      <c r="A519" t="inlineStr">
        <is>
          <t>ORD-1517</t>
        </is>
      </c>
      <c r="B519" s="2" t="n">
        <v>45649</v>
      </c>
      <c r="C519" t="n">
        <v>2024</v>
      </c>
      <c r="D519" t="inlineStr">
        <is>
          <t>Q4</t>
        </is>
      </c>
      <c r="E519" t="inlineStr">
        <is>
          <t>Dec</t>
        </is>
      </c>
      <c r="F519" t="inlineStr">
        <is>
          <t>West</t>
        </is>
      </c>
      <c r="G519" t="inlineStr">
        <is>
          <t>Mid-Market</t>
        </is>
      </c>
      <c r="H519" t="inlineStr">
        <is>
          <t>Partner</t>
        </is>
      </c>
      <c r="I519" t="inlineStr">
        <is>
          <t>Services</t>
        </is>
      </c>
      <c r="J519" t="inlineStr">
        <is>
          <t>Training</t>
        </is>
      </c>
      <c r="K519" t="inlineStr">
        <is>
          <t>E. Nair</t>
        </is>
      </c>
      <c r="L519" t="n">
        <v>15</v>
      </c>
      <c r="M519" s="3" t="n">
        <v>2364.53</v>
      </c>
      <c r="N519" s="3">
        <f>L519*M519</f>
        <v/>
      </c>
      <c r="O519" s="3">
        <f>N519*0.209</f>
        <v/>
      </c>
      <c r="P519" s="3">
        <f>N519-O519</f>
        <v/>
      </c>
      <c r="Q519" s="4">
        <f>IF(N519=0,0,P519/N519)</f>
        <v/>
      </c>
    </row>
    <row r="520">
      <c r="A520" t="inlineStr">
        <is>
          <t>ORD-1518</t>
        </is>
      </c>
      <c r="B520" s="2" t="n">
        <v>45648</v>
      </c>
      <c r="C520" t="n">
        <v>2024</v>
      </c>
      <c r="D520" t="inlineStr">
        <is>
          <t>Q4</t>
        </is>
      </c>
      <c r="E520" t="inlineStr">
        <is>
          <t>Dec</t>
        </is>
      </c>
      <c r="F520" t="inlineStr">
        <is>
          <t>West</t>
        </is>
      </c>
      <c r="G520" t="inlineStr">
        <is>
          <t>SMB</t>
        </is>
      </c>
      <c r="H520" t="inlineStr">
        <is>
          <t>Direct</t>
        </is>
      </c>
      <c r="I520" t="inlineStr">
        <is>
          <t>Services</t>
        </is>
      </c>
      <c r="J520" t="inlineStr">
        <is>
          <t>Onboarding</t>
        </is>
      </c>
      <c r="K520" t="inlineStr">
        <is>
          <t>C. Mehta</t>
        </is>
      </c>
      <c r="L520" t="n">
        <v>28</v>
      </c>
      <c r="M520" s="3" t="n">
        <v>594.54</v>
      </c>
      <c r="N520" s="3">
        <f>L520*M520</f>
        <v/>
      </c>
      <c r="O520" s="3">
        <f>N520*0.271</f>
        <v/>
      </c>
      <c r="P520" s="3">
        <f>N520-O520</f>
        <v/>
      </c>
      <c r="Q520" s="4">
        <f>IF(N520=0,0,P520/N520)</f>
        <v/>
      </c>
    </row>
    <row r="521">
      <c r="A521" t="inlineStr">
        <is>
          <t>ORD-1519</t>
        </is>
      </c>
      <c r="B521" s="2" t="n">
        <v>45570</v>
      </c>
      <c r="C521" t="n">
        <v>2024</v>
      </c>
      <c r="D521" t="inlineStr">
        <is>
          <t>Q4</t>
        </is>
      </c>
      <c r="E521" t="inlineStr">
        <is>
          <t>Oct</t>
        </is>
      </c>
      <c r="F521" t="inlineStr">
        <is>
          <t>North</t>
        </is>
      </c>
      <c r="G521" t="inlineStr">
        <is>
          <t>Enterprise</t>
        </is>
      </c>
      <c r="H521" t="inlineStr">
        <is>
          <t>Self-serve</t>
        </is>
      </c>
      <c r="I521" t="inlineStr">
        <is>
          <t>Add-ons</t>
        </is>
      </c>
      <c r="J521" t="inlineStr">
        <is>
          <t>Support Plus</t>
        </is>
      </c>
      <c r="K521" t="inlineStr">
        <is>
          <t>A. Rao</t>
        </is>
      </c>
      <c r="L521" t="n">
        <v>13</v>
      </c>
      <c r="M521" s="3" t="n">
        <v>312.03</v>
      </c>
      <c r="N521" s="3">
        <f>L521*M521</f>
        <v/>
      </c>
      <c r="O521" s="3">
        <f>N521*0.294</f>
        <v/>
      </c>
      <c r="P521" s="3">
        <f>N521-O521</f>
        <v/>
      </c>
      <c r="Q521" s="4">
        <f>IF(N521=0,0,P521/N521)</f>
        <v/>
      </c>
    </row>
    <row r="522">
      <c r="A522" t="inlineStr">
        <is>
          <t>ORD-1520</t>
        </is>
      </c>
      <c r="B522" s="2" t="n">
        <v>45484</v>
      </c>
      <c r="C522" t="n">
        <v>2024</v>
      </c>
      <c r="D522" t="inlineStr">
        <is>
          <t>Q3</t>
        </is>
      </c>
      <c r="E522" t="inlineStr">
        <is>
          <t>Jul</t>
        </is>
      </c>
      <c r="F522" t="inlineStr">
        <is>
          <t>West</t>
        </is>
      </c>
      <c r="G522" t="inlineStr">
        <is>
          <t>Mid-Market</t>
        </is>
      </c>
      <c r="H522" t="inlineStr">
        <is>
          <t>Direct</t>
        </is>
      </c>
      <c r="I522" t="inlineStr">
        <is>
          <t>Services</t>
        </is>
      </c>
      <c r="J522" t="inlineStr">
        <is>
          <t>Onboarding</t>
        </is>
      </c>
      <c r="K522" t="inlineStr">
        <is>
          <t>B. Khan</t>
        </is>
      </c>
      <c r="L522" t="n">
        <v>45</v>
      </c>
      <c r="M522" s="3" t="n">
        <v>2069.43</v>
      </c>
      <c r="N522" s="3">
        <f>L522*M522</f>
        <v/>
      </c>
      <c r="O522" s="3">
        <f>N522*0.322</f>
        <v/>
      </c>
      <c r="P522" s="3">
        <f>N522-O522</f>
        <v/>
      </c>
      <c r="Q522" s="4">
        <f>IF(N522=0,0,P522/N522)</f>
        <v/>
      </c>
    </row>
    <row r="523">
      <c r="A523" t="inlineStr">
        <is>
          <t>ORD-1521</t>
        </is>
      </c>
      <c r="B523" s="2" t="n">
        <v>45591</v>
      </c>
      <c r="C523" t="n">
        <v>2024</v>
      </c>
      <c r="D523" t="inlineStr">
        <is>
          <t>Q4</t>
        </is>
      </c>
      <c r="E523" t="inlineStr">
        <is>
          <t>Oct</t>
        </is>
      </c>
      <c r="F523" t="inlineStr">
        <is>
          <t>East</t>
        </is>
      </c>
      <c r="G523" t="inlineStr">
        <is>
          <t>Enterprise</t>
        </is>
      </c>
      <c r="H523" t="inlineStr">
        <is>
          <t>Partner</t>
        </is>
      </c>
      <c r="I523" t="inlineStr">
        <is>
          <t>Add-ons</t>
        </is>
      </c>
      <c r="J523" t="inlineStr">
        <is>
          <t>Support Plus</t>
        </is>
      </c>
      <c r="K523" t="inlineStr">
        <is>
          <t>F. Shah</t>
        </is>
      </c>
      <c r="L523" t="n">
        <v>35</v>
      </c>
      <c r="M523" s="3" t="n">
        <v>1231.84</v>
      </c>
      <c r="N523" s="3">
        <f>L523*M523</f>
        <v/>
      </c>
      <c r="O523" s="3">
        <f>N523*0.331</f>
        <v/>
      </c>
      <c r="P523" s="3">
        <f>N523-O523</f>
        <v/>
      </c>
      <c r="Q523" s="4">
        <f>IF(N523=0,0,P523/N523)</f>
        <v/>
      </c>
    </row>
    <row r="524">
      <c r="A524" t="inlineStr">
        <is>
          <t>ORD-1522</t>
        </is>
      </c>
      <c r="B524" s="2" t="n">
        <v>45396</v>
      </c>
      <c r="C524" t="n">
        <v>2024</v>
      </c>
      <c r="D524" t="inlineStr">
        <is>
          <t>Q2</t>
        </is>
      </c>
      <c r="E524" t="inlineStr">
        <is>
          <t>Apr</t>
        </is>
      </c>
      <c r="F524" t="inlineStr">
        <is>
          <t>East</t>
        </is>
      </c>
      <c r="G524" t="inlineStr">
        <is>
          <t>Enterprise</t>
        </is>
      </c>
      <c r="H524" t="inlineStr">
        <is>
          <t>Self-serve</t>
        </is>
      </c>
      <c r="I524" t="inlineStr">
        <is>
          <t>Add-ons</t>
        </is>
      </c>
      <c r="J524" t="inlineStr">
        <is>
          <t>Extra Seats</t>
        </is>
      </c>
      <c r="K524" t="inlineStr">
        <is>
          <t>D. Iyer</t>
        </is>
      </c>
      <c r="L524" t="n">
        <v>36</v>
      </c>
      <c r="M524" s="3" t="n">
        <v>1361.43</v>
      </c>
      <c r="N524" s="3">
        <f>L524*M524</f>
        <v/>
      </c>
      <c r="O524" s="3">
        <f>N524*0.374</f>
        <v/>
      </c>
      <c r="P524" s="3">
        <f>N524-O524</f>
        <v/>
      </c>
      <c r="Q524" s="4">
        <f>IF(N524=0,0,P524/N524)</f>
        <v/>
      </c>
    </row>
    <row r="525">
      <c r="A525" t="inlineStr">
        <is>
          <t>ORD-1523</t>
        </is>
      </c>
      <c r="B525" s="2" t="n">
        <v>45449</v>
      </c>
      <c r="C525" t="n">
        <v>2024</v>
      </c>
      <c r="D525" t="inlineStr">
        <is>
          <t>Q2</t>
        </is>
      </c>
      <c r="E525" t="inlineStr">
        <is>
          <t>Jun</t>
        </is>
      </c>
      <c r="F525" t="inlineStr">
        <is>
          <t>South</t>
        </is>
      </c>
      <c r="G525" t="inlineStr">
        <is>
          <t>Enterprise</t>
        </is>
      </c>
      <c r="H525" t="inlineStr">
        <is>
          <t>Direct</t>
        </is>
      </c>
      <c r="I525" t="inlineStr">
        <is>
          <t>Services</t>
        </is>
      </c>
      <c r="J525" t="inlineStr">
        <is>
          <t>Training</t>
        </is>
      </c>
      <c r="K525" t="inlineStr">
        <is>
          <t>F. Shah</t>
        </is>
      </c>
      <c r="L525" t="n">
        <v>50</v>
      </c>
      <c r="M525" s="3" t="n">
        <v>1852.09</v>
      </c>
      <c r="N525" s="3">
        <f>L525*M525</f>
        <v/>
      </c>
      <c r="O525" s="3">
        <f>N525*0.381</f>
        <v/>
      </c>
      <c r="P525" s="3">
        <f>N525-O525</f>
        <v/>
      </c>
      <c r="Q525" s="4">
        <f>IF(N525=0,0,P525/N525)</f>
        <v/>
      </c>
    </row>
    <row r="526">
      <c r="A526" t="inlineStr">
        <is>
          <t>ORD-1524</t>
        </is>
      </c>
      <c r="B526" s="2" t="n">
        <v>45650</v>
      </c>
      <c r="C526" t="n">
        <v>2024</v>
      </c>
      <c r="D526" t="inlineStr">
        <is>
          <t>Q4</t>
        </is>
      </c>
      <c r="E526" t="inlineStr">
        <is>
          <t>Dec</t>
        </is>
      </c>
      <c r="F526" t="inlineStr">
        <is>
          <t>East</t>
        </is>
      </c>
      <c r="G526" t="inlineStr">
        <is>
          <t>Enterprise</t>
        </is>
      </c>
      <c r="H526" t="inlineStr">
        <is>
          <t>Self-serve</t>
        </is>
      </c>
      <c r="I526" t="inlineStr">
        <is>
          <t>Subscriptions</t>
        </is>
      </c>
      <c r="J526" t="inlineStr">
        <is>
          <t>Starter</t>
        </is>
      </c>
      <c r="K526" t="inlineStr">
        <is>
          <t>F. Shah</t>
        </is>
      </c>
      <c r="L526" t="n">
        <v>14</v>
      </c>
      <c r="M526" s="3" t="n">
        <v>1418.36</v>
      </c>
      <c r="N526" s="3">
        <f>L526*M526</f>
        <v/>
      </c>
      <c r="O526" s="3">
        <f>N526*0.245</f>
        <v/>
      </c>
      <c r="P526" s="3">
        <f>N526-O526</f>
        <v/>
      </c>
      <c r="Q526" s="4">
        <f>IF(N526=0,0,P526/N526)</f>
        <v/>
      </c>
    </row>
    <row r="527">
      <c r="A527" t="inlineStr">
        <is>
          <t>ORD-1525</t>
        </is>
      </c>
      <c r="B527" s="2" t="n">
        <v>45318</v>
      </c>
      <c r="C527" t="n">
        <v>2024</v>
      </c>
      <c r="D527" t="inlineStr">
        <is>
          <t>Q1</t>
        </is>
      </c>
      <c r="E527" t="inlineStr">
        <is>
          <t>Jan</t>
        </is>
      </c>
      <c r="F527" t="inlineStr">
        <is>
          <t>North</t>
        </is>
      </c>
      <c r="G527" t="inlineStr">
        <is>
          <t>SMB</t>
        </is>
      </c>
      <c r="H527" t="inlineStr">
        <is>
          <t>Partner</t>
        </is>
      </c>
      <c r="I527" t="inlineStr">
        <is>
          <t>Subscriptions</t>
        </is>
      </c>
      <c r="J527" t="inlineStr">
        <is>
          <t>Pro</t>
        </is>
      </c>
      <c r="K527" t="inlineStr">
        <is>
          <t>E. Nair</t>
        </is>
      </c>
      <c r="L527" t="n">
        <v>41</v>
      </c>
      <c r="M527" s="3" t="n">
        <v>311.64</v>
      </c>
      <c r="N527" s="3">
        <f>L527*M527</f>
        <v/>
      </c>
      <c r="O527" s="3">
        <f>N527*0.319</f>
        <v/>
      </c>
      <c r="P527" s="3">
        <f>N527-O527</f>
        <v/>
      </c>
      <c r="Q527" s="4">
        <f>IF(N527=0,0,P527/N527)</f>
        <v/>
      </c>
    </row>
    <row r="528">
      <c r="A528" t="inlineStr">
        <is>
          <t>ORD-1526</t>
        </is>
      </c>
      <c r="B528" s="2" t="n">
        <v>45324</v>
      </c>
      <c r="C528" t="n">
        <v>2024</v>
      </c>
      <c r="D528" t="inlineStr">
        <is>
          <t>Q1</t>
        </is>
      </c>
      <c r="E528" t="inlineStr">
        <is>
          <t>Feb</t>
        </is>
      </c>
      <c r="F528" t="inlineStr">
        <is>
          <t>North</t>
        </is>
      </c>
      <c r="G528" t="inlineStr">
        <is>
          <t>Enterprise</t>
        </is>
      </c>
      <c r="H528" t="inlineStr">
        <is>
          <t>Partner</t>
        </is>
      </c>
      <c r="I528" t="inlineStr">
        <is>
          <t>Add-ons</t>
        </is>
      </c>
      <c r="J528" t="inlineStr">
        <is>
          <t>Analytics</t>
        </is>
      </c>
      <c r="K528" t="inlineStr">
        <is>
          <t>D. Iyer</t>
        </is>
      </c>
      <c r="L528" t="n">
        <v>24</v>
      </c>
      <c r="M528" s="3" t="n">
        <v>476.09</v>
      </c>
      <c r="N528" s="3">
        <f>L528*M528</f>
        <v/>
      </c>
      <c r="O528" s="3">
        <f>N528*0.266</f>
        <v/>
      </c>
      <c r="P528" s="3">
        <f>N528-O528</f>
        <v/>
      </c>
      <c r="Q528" s="4">
        <f>IF(N528=0,0,P528/N528)</f>
        <v/>
      </c>
    </row>
    <row r="529">
      <c r="A529" t="inlineStr">
        <is>
          <t>ORD-1527</t>
        </is>
      </c>
      <c r="B529" s="2" t="n">
        <v>45558</v>
      </c>
      <c r="C529" t="n">
        <v>2024</v>
      </c>
      <c r="D529" t="inlineStr">
        <is>
          <t>Q3</t>
        </is>
      </c>
      <c r="E529" t="inlineStr">
        <is>
          <t>Sep</t>
        </is>
      </c>
      <c r="F529" t="inlineStr">
        <is>
          <t>South</t>
        </is>
      </c>
      <c r="G529" t="inlineStr">
        <is>
          <t>Enterprise</t>
        </is>
      </c>
      <c r="H529" t="inlineStr">
        <is>
          <t>Partner</t>
        </is>
      </c>
      <c r="I529" t="inlineStr">
        <is>
          <t>Add-ons</t>
        </is>
      </c>
      <c r="J529" t="inlineStr">
        <is>
          <t>Extra Seats</t>
        </is>
      </c>
      <c r="K529" t="inlineStr">
        <is>
          <t>D. Iyer</t>
        </is>
      </c>
      <c r="L529" t="n">
        <v>39</v>
      </c>
      <c r="M529" s="3" t="n">
        <v>426.42</v>
      </c>
      <c r="N529" s="3">
        <f>L529*M529</f>
        <v/>
      </c>
      <c r="O529" s="3">
        <f>N529*0.447</f>
        <v/>
      </c>
      <c r="P529" s="3">
        <f>N529-O529</f>
        <v/>
      </c>
      <c r="Q529" s="4">
        <f>IF(N529=0,0,P529/N529)</f>
        <v/>
      </c>
    </row>
    <row r="530">
      <c r="A530" t="inlineStr">
        <is>
          <t>ORD-1528</t>
        </is>
      </c>
      <c r="B530" s="2" t="n">
        <v>45628</v>
      </c>
      <c r="C530" t="n">
        <v>2024</v>
      </c>
      <c r="D530" t="inlineStr">
        <is>
          <t>Q4</t>
        </is>
      </c>
      <c r="E530" t="inlineStr">
        <is>
          <t>Dec</t>
        </is>
      </c>
      <c r="F530" t="inlineStr">
        <is>
          <t>South</t>
        </is>
      </c>
      <c r="G530" t="inlineStr">
        <is>
          <t>Enterprise</t>
        </is>
      </c>
      <c r="H530" t="inlineStr">
        <is>
          <t>Direct</t>
        </is>
      </c>
      <c r="I530" t="inlineStr">
        <is>
          <t>Services</t>
        </is>
      </c>
      <c r="J530" t="inlineStr">
        <is>
          <t>Training</t>
        </is>
      </c>
      <c r="K530" t="inlineStr">
        <is>
          <t>F. Shah</t>
        </is>
      </c>
      <c r="L530" t="n">
        <v>13</v>
      </c>
      <c r="M530" s="3" t="n">
        <v>373.94</v>
      </c>
      <c r="N530" s="3">
        <f>L530*M530</f>
        <v/>
      </c>
      <c r="O530" s="3">
        <f>N530*0.439</f>
        <v/>
      </c>
      <c r="P530" s="3">
        <f>N530-O530</f>
        <v/>
      </c>
      <c r="Q530" s="4">
        <f>IF(N530=0,0,P530/N530)</f>
        <v/>
      </c>
    </row>
    <row r="531">
      <c r="A531" t="inlineStr">
        <is>
          <t>ORD-1529</t>
        </is>
      </c>
      <c r="B531" s="2" t="n">
        <v>45414</v>
      </c>
      <c r="C531" t="n">
        <v>2024</v>
      </c>
      <c r="D531" t="inlineStr">
        <is>
          <t>Q2</t>
        </is>
      </c>
      <c r="E531" t="inlineStr">
        <is>
          <t>May</t>
        </is>
      </c>
      <c r="F531" t="inlineStr">
        <is>
          <t>East</t>
        </is>
      </c>
      <c r="G531" t="inlineStr">
        <is>
          <t>Mid-Market</t>
        </is>
      </c>
      <c r="H531" t="inlineStr">
        <is>
          <t>Partner</t>
        </is>
      </c>
      <c r="I531" t="inlineStr">
        <is>
          <t>Services</t>
        </is>
      </c>
      <c r="J531" t="inlineStr">
        <is>
          <t>Onboarding</t>
        </is>
      </c>
      <c r="K531" t="inlineStr">
        <is>
          <t>F. Shah</t>
        </is>
      </c>
      <c r="L531" t="n">
        <v>11</v>
      </c>
      <c r="M531" s="3" t="n">
        <v>491.05</v>
      </c>
      <c r="N531" s="3">
        <f>L531*M531</f>
        <v/>
      </c>
      <c r="O531" s="3">
        <f>N531*0.331</f>
        <v/>
      </c>
      <c r="P531" s="3">
        <f>N531-O531</f>
        <v/>
      </c>
      <c r="Q531" s="4">
        <f>IF(N531=0,0,P531/N531)</f>
        <v/>
      </c>
    </row>
    <row r="532">
      <c r="A532" t="inlineStr">
        <is>
          <t>ORD-1530</t>
        </is>
      </c>
      <c r="B532" s="2" t="n">
        <v>45592</v>
      </c>
      <c r="C532" t="n">
        <v>2024</v>
      </c>
      <c r="D532" t="inlineStr">
        <is>
          <t>Q4</t>
        </is>
      </c>
      <c r="E532" t="inlineStr">
        <is>
          <t>Oct</t>
        </is>
      </c>
      <c r="F532" t="inlineStr">
        <is>
          <t>North</t>
        </is>
      </c>
      <c r="G532" t="inlineStr">
        <is>
          <t>SMB</t>
        </is>
      </c>
      <c r="H532" t="inlineStr">
        <is>
          <t>Self-serve</t>
        </is>
      </c>
      <c r="I532" t="inlineStr">
        <is>
          <t>Subscriptions</t>
        </is>
      </c>
      <c r="J532" t="inlineStr">
        <is>
          <t>Enterprise</t>
        </is>
      </c>
      <c r="K532" t="inlineStr">
        <is>
          <t>C. Mehta</t>
        </is>
      </c>
      <c r="L532" t="n">
        <v>1</v>
      </c>
      <c r="M532" s="3" t="n">
        <v>1921.24</v>
      </c>
      <c r="N532" s="3">
        <f>L532*M532</f>
        <v/>
      </c>
      <c r="O532" s="3">
        <f>N532*0.232</f>
        <v/>
      </c>
      <c r="P532" s="3">
        <f>N532-O532</f>
        <v/>
      </c>
      <c r="Q532" s="4">
        <f>IF(N532=0,0,P532/N532)</f>
        <v/>
      </c>
    </row>
    <row r="533">
      <c r="A533" t="inlineStr">
        <is>
          <t>ORD-1531</t>
        </is>
      </c>
      <c r="B533" s="2" t="n">
        <v>45578</v>
      </c>
      <c r="C533" t="n">
        <v>2024</v>
      </c>
      <c r="D533" t="inlineStr">
        <is>
          <t>Q4</t>
        </is>
      </c>
      <c r="E533" t="inlineStr">
        <is>
          <t>Oct</t>
        </is>
      </c>
      <c r="F533" t="inlineStr">
        <is>
          <t>East</t>
        </is>
      </c>
      <c r="G533" t="inlineStr">
        <is>
          <t>SMB</t>
        </is>
      </c>
      <c r="H533" t="inlineStr">
        <is>
          <t>Self-serve</t>
        </is>
      </c>
      <c r="I533" t="inlineStr">
        <is>
          <t>Services</t>
        </is>
      </c>
      <c r="J533" t="inlineStr">
        <is>
          <t>Training</t>
        </is>
      </c>
      <c r="K533" t="inlineStr">
        <is>
          <t>B. Khan</t>
        </is>
      </c>
      <c r="L533" t="n">
        <v>23</v>
      </c>
      <c r="M533" s="3" t="n">
        <v>2419.23</v>
      </c>
      <c r="N533" s="3">
        <f>L533*M533</f>
        <v/>
      </c>
      <c r="O533" s="3">
        <f>N533*0.314</f>
        <v/>
      </c>
      <c r="P533" s="3">
        <f>N533-O533</f>
        <v/>
      </c>
      <c r="Q533" s="4">
        <f>IF(N533=0,0,P533/N533)</f>
        <v/>
      </c>
    </row>
    <row r="534">
      <c r="A534" t="inlineStr">
        <is>
          <t>ORD-1532</t>
        </is>
      </c>
      <c r="B534" s="2" t="n">
        <v>45498</v>
      </c>
      <c r="C534" t="n">
        <v>2024</v>
      </c>
      <c r="D534" t="inlineStr">
        <is>
          <t>Q3</t>
        </is>
      </c>
      <c r="E534" t="inlineStr">
        <is>
          <t>Jul</t>
        </is>
      </c>
      <c r="F534" t="inlineStr">
        <is>
          <t>North</t>
        </is>
      </c>
      <c r="G534" t="inlineStr">
        <is>
          <t>Enterprise</t>
        </is>
      </c>
      <c r="H534" t="inlineStr">
        <is>
          <t>Direct</t>
        </is>
      </c>
      <c r="I534" t="inlineStr">
        <is>
          <t>Services</t>
        </is>
      </c>
      <c r="J534" t="inlineStr">
        <is>
          <t>Onboarding</t>
        </is>
      </c>
      <c r="K534" t="inlineStr">
        <is>
          <t>E. Nair</t>
        </is>
      </c>
      <c r="L534" t="n">
        <v>17</v>
      </c>
      <c r="M534" s="3" t="n">
        <v>685.08</v>
      </c>
      <c r="N534" s="3">
        <f>L534*M534</f>
        <v/>
      </c>
      <c r="O534" s="3">
        <f>N534*0.362</f>
        <v/>
      </c>
      <c r="P534" s="3">
        <f>N534-O534</f>
        <v/>
      </c>
      <c r="Q534" s="4">
        <f>IF(N534=0,0,P534/N534)</f>
        <v/>
      </c>
    </row>
    <row r="535">
      <c r="A535" t="inlineStr">
        <is>
          <t>ORD-1533</t>
        </is>
      </c>
      <c r="B535" s="2" t="n">
        <v>45351</v>
      </c>
      <c r="C535" t="n">
        <v>2024</v>
      </c>
      <c r="D535" t="inlineStr">
        <is>
          <t>Q1</t>
        </is>
      </c>
      <c r="E535" t="inlineStr">
        <is>
          <t>Feb</t>
        </is>
      </c>
      <c r="F535" t="inlineStr">
        <is>
          <t>East</t>
        </is>
      </c>
      <c r="G535" t="inlineStr">
        <is>
          <t>Enterprise</t>
        </is>
      </c>
      <c r="H535" t="inlineStr">
        <is>
          <t>Partner</t>
        </is>
      </c>
      <c r="I535" t="inlineStr">
        <is>
          <t>Services</t>
        </is>
      </c>
      <c r="J535" t="inlineStr">
        <is>
          <t>Training</t>
        </is>
      </c>
      <c r="K535" t="inlineStr">
        <is>
          <t>D. Iyer</t>
        </is>
      </c>
      <c r="L535" t="n">
        <v>35</v>
      </c>
      <c r="M535" s="3" t="n">
        <v>2088.92</v>
      </c>
      <c r="N535" s="3">
        <f>L535*M535</f>
        <v/>
      </c>
      <c r="O535" s="3">
        <f>N535*0.281</f>
        <v/>
      </c>
      <c r="P535" s="3">
        <f>N535-O535</f>
        <v/>
      </c>
      <c r="Q535" s="4">
        <f>IF(N535=0,0,P535/N535)</f>
        <v/>
      </c>
    </row>
    <row r="536">
      <c r="A536" t="inlineStr">
        <is>
          <t>ORD-1534</t>
        </is>
      </c>
      <c r="B536" s="2" t="n">
        <v>45416</v>
      </c>
      <c r="C536" t="n">
        <v>2024</v>
      </c>
      <c r="D536" t="inlineStr">
        <is>
          <t>Q2</t>
        </is>
      </c>
      <c r="E536" t="inlineStr">
        <is>
          <t>May</t>
        </is>
      </c>
      <c r="F536" t="inlineStr">
        <is>
          <t>North</t>
        </is>
      </c>
      <c r="G536" t="inlineStr">
        <is>
          <t>Mid-Market</t>
        </is>
      </c>
      <c r="H536" t="inlineStr">
        <is>
          <t>Direct</t>
        </is>
      </c>
      <c r="I536" t="inlineStr">
        <is>
          <t>Add-ons</t>
        </is>
      </c>
      <c r="J536" t="inlineStr">
        <is>
          <t>Support Plus</t>
        </is>
      </c>
      <c r="K536" t="inlineStr">
        <is>
          <t>C. Mehta</t>
        </is>
      </c>
      <c r="L536" t="n">
        <v>44</v>
      </c>
      <c r="M536" s="3" t="n">
        <v>1313.58</v>
      </c>
      <c r="N536" s="3">
        <f>L536*M536</f>
        <v/>
      </c>
      <c r="O536" s="3">
        <f>N536*0.43</f>
        <v/>
      </c>
      <c r="P536" s="3">
        <f>N536-O536</f>
        <v/>
      </c>
      <c r="Q536" s="4">
        <f>IF(N536=0,0,P536/N536)</f>
        <v/>
      </c>
    </row>
    <row r="537">
      <c r="A537" t="inlineStr">
        <is>
          <t>ORD-1535</t>
        </is>
      </c>
      <c r="B537" s="2" t="n">
        <v>45616</v>
      </c>
      <c r="C537" t="n">
        <v>2024</v>
      </c>
      <c r="D537" t="inlineStr">
        <is>
          <t>Q4</t>
        </is>
      </c>
      <c r="E537" t="inlineStr">
        <is>
          <t>Nov</t>
        </is>
      </c>
      <c r="F537" t="inlineStr">
        <is>
          <t>East</t>
        </is>
      </c>
      <c r="G537" t="inlineStr">
        <is>
          <t>Mid-Market</t>
        </is>
      </c>
      <c r="H537" t="inlineStr">
        <is>
          <t>Partner</t>
        </is>
      </c>
      <c r="I537" t="inlineStr">
        <is>
          <t>Subscriptions</t>
        </is>
      </c>
      <c r="J537" t="inlineStr">
        <is>
          <t>Enterprise</t>
        </is>
      </c>
      <c r="K537" t="inlineStr">
        <is>
          <t>E. Nair</t>
        </is>
      </c>
      <c r="L537" t="n">
        <v>45</v>
      </c>
      <c r="M537" s="3" t="n">
        <v>805.85</v>
      </c>
      <c r="N537" s="3">
        <f>L537*M537</f>
        <v/>
      </c>
      <c r="O537" s="3">
        <f>N537*0.289</f>
        <v/>
      </c>
      <c r="P537" s="3">
        <f>N537-O537</f>
        <v/>
      </c>
      <c r="Q537" s="4">
        <f>IF(N537=0,0,P537/N537)</f>
        <v/>
      </c>
    </row>
    <row r="538">
      <c r="A538" t="inlineStr">
        <is>
          <t>ORD-1536</t>
        </is>
      </c>
      <c r="B538" s="2" t="n">
        <v>45650</v>
      </c>
      <c r="C538" t="n">
        <v>2024</v>
      </c>
      <c r="D538" t="inlineStr">
        <is>
          <t>Q4</t>
        </is>
      </c>
      <c r="E538" t="inlineStr">
        <is>
          <t>Dec</t>
        </is>
      </c>
      <c r="F538" t="inlineStr">
        <is>
          <t>East</t>
        </is>
      </c>
      <c r="G538" t="inlineStr">
        <is>
          <t>SMB</t>
        </is>
      </c>
      <c r="H538" t="inlineStr">
        <is>
          <t>Self-serve</t>
        </is>
      </c>
      <c r="I538" t="inlineStr">
        <is>
          <t>Add-ons</t>
        </is>
      </c>
      <c r="J538" t="inlineStr">
        <is>
          <t>Analytics</t>
        </is>
      </c>
      <c r="K538" t="inlineStr">
        <is>
          <t>B. Khan</t>
        </is>
      </c>
      <c r="L538" t="n">
        <v>19</v>
      </c>
      <c r="M538" s="3" t="n">
        <v>504.62</v>
      </c>
      <c r="N538" s="3">
        <f>L538*M538</f>
        <v/>
      </c>
      <c r="O538" s="3">
        <f>N538*0.307</f>
        <v/>
      </c>
      <c r="P538" s="3">
        <f>N538-O538</f>
        <v/>
      </c>
      <c r="Q538" s="4">
        <f>IF(N538=0,0,P538/N538)</f>
        <v/>
      </c>
    </row>
    <row r="539">
      <c r="A539" t="inlineStr">
        <is>
          <t>ORD-1537</t>
        </is>
      </c>
      <c r="B539" s="2" t="n">
        <v>45473</v>
      </c>
      <c r="C539" t="n">
        <v>2024</v>
      </c>
      <c r="D539" t="inlineStr">
        <is>
          <t>Q2</t>
        </is>
      </c>
      <c r="E539" t="inlineStr">
        <is>
          <t>Jun</t>
        </is>
      </c>
      <c r="F539" t="inlineStr">
        <is>
          <t>South</t>
        </is>
      </c>
      <c r="G539" t="inlineStr">
        <is>
          <t>Mid-Market</t>
        </is>
      </c>
      <c r="H539" t="inlineStr">
        <is>
          <t>Self-serve</t>
        </is>
      </c>
      <c r="I539" t="inlineStr">
        <is>
          <t>Subscriptions</t>
        </is>
      </c>
      <c r="J539" t="inlineStr">
        <is>
          <t>Enterprise</t>
        </is>
      </c>
      <c r="K539" t="inlineStr">
        <is>
          <t>B. Khan</t>
        </is>
      </c>
      <c r="L539" t="n">
        <v>18</v>
      </c>
      <c r="M539" s="3" t="n">
        <v>702.13</v>
      </c>
      <c r="N539" s="3">
        <f>L539*M539</f>
        <v/>
      </c>
      <c r="O539" s="3">
        <f>N539*0.38</f>
        <v/>
      </c>
      <c r="P539" s="3">
        <f>N539-O539</f>
        <v/>
      </c>
      <c r="Q539" s="4">
        <f>IF(N539=0,0,P539/N539)</f>
        <v/>
      </c>
    </row>
    <row r="540">
      <c r="A540" t="inlineStr">
        <is>
          <t>ORD-1538</t>
        </is>
      </c>
      <c r="B540" s="2" t="n">
        <v>45415</v>
      </c>
      <c r="C540" t="n">
        <v>2024</v>
      </c>
      <c r="D540" t="inlineStr">
        <is>
          <t>Q2</t>
        </is>
      </c>
      <c r="E540" t="inlineStr">
        <is>
          <t>May</t>
        </is>
      </c>
      <c r="F540" t="inlineStr">
        <is>
          <t>South</t>
        </is>
      </c>
      <c r="G540" t="inlineStr">
        <is>
          <t>Enterprise</t>
        </is>
      </c>
      <c r="H540" t="inlineStr">
        <is>
          <t>Partner</t>
        </is>
      </c>
      <c r="I540" t="inlineStr">
        <is>
          <t>Add-ons</t>
        </is>
      </c>
      <c r="J540" t="inlineStr">
        <is>
          <t>Analytics</t>
        </is>
      </c>
      <c r="K540" t="inlineStr">
        <is>
          <t>B. Khan</t>
        </is>
      </c>
      <c r="L540" t="n">
        <v>15</v>
      </c>
      <c r="M540" s="3" t="n">
        <v>746.09</v>
      </c>
      <c r="N540" s="3">
        <f>L540*M540</f>
        <v/>
      </c>
      <c r="O540" s="3">
        <f>N540*0.216</f>
        <v/>
      </c>
      <c r="P540" s="3">
        <f>N540-O540</f>
        <v/>
      </c>
      <c r="Q540" s="4">
        <f>IF(N540=0,0,P540/N540)</f>
        <v/>
      </c>
    </row>
    <row r="541">
      <c r="A541" t="inlineStr">
        <is>
          <t>ORD-1539</t>
        </is>
      </c>
      <c r="B541" s="2" t="n">
        <v>45353</v>
      </c>
      <c r="C541" t="n">
        <v>2024</v>
      </c>
      <c r="D541" t="inlineStr">
        <is>
          <t>Q1</t>
        </is>
      </c>
      <c r="E541" t="inlineStr">
        <is>
          <t>Mar</t>
        </is>
      </c>
      <c r="F541" t="inlineStr">
        <is>
          <t>North</t>
        </is>
      </c>
      <c r="G541" t="inlineStr">
        <is>
          <t>Enterprise</t>
        </is>
      </c>
      <c r="H541" t="inlineStr">
        <is>
          <t>Direct</t>
        </is>
      </c>
      <c r="I541" t="inlineStr">
        <is>
          <t>Subscriptions</t>
        </is>
      </c>
      <c r="J541" t="inlineStr">
        <is>
          <t>Enterprise</t>
        </is>
      </c>
      <c r="K541" t="inlineStr">
        <is>
          <t>D. Iyer</t>
        </is>
      </c>
      <c r="L541" t="n">
        <v>43</v>
      </c>
      <c r="M541" s="3" t="n">
        <v>1383.86</v>
      </c>
      <c r="N541" s="3">
        <f>L541*M541</f>
        <v/>
      </c>
      <c r="O541" s="3">
        <f>N541*0.339</f>
        <v/>
      </c>
      <c r="P541" s="3">
        <f>N541-O541</f>
        <v/>
      </c>
      <c r="Q541" s="4">
        <f>IF(N541=0,0,P541/N541)</f>
        <v/>
      </c>
    </row>
    <row r="542">
      <c r="A542" t="inlineStr">
        <is>
          <t>ORD-1540</t>
        </is>
      </c>
      <c r="B542" s="2" t="n">
        <v>45453</v>
      </c>
      <c r="C542" t="n">
        <v>2024</v>
      </c>
      <c r="D542" t="inlineStr">
        <is>
          <t>Q2</t>
        </is>
      </c>
      <c r="E542" t="inlineStr">
        <is>
          <t>Jun</t>
        </is>
      </c>
      <c r="F542" t="inlineStr">
        <is>
          <t>East</t>
        </is>
      </c>
      <c r="G542" t="inlineStr">
        <is>
          <t>Mid-Market</t>
        </is>
      </c>
      <c r="H542" t="inlineStr">
        <is>
          <t>Direct</t>
        </is>
      </c>
      <c r="I542" t="inlineStr">
        <is>
          <t>Add-ons</t>
        </is>
      </c>
      <c r="J542" t="inlineStr">
        <is>
          <t>Extra Seats</t>
        </is>
      </c>
      <c r="K542" t="inlineStr">
        <is>
          <t>E. Nair</t>
        </is>
      </c>
      <c r="L542" t="n">
        <v>18</v>
      </c>
      <c r="M542" s="3" t="n">
        <v>1379.77</v>
      </c>
      <c r="N542" s="3">
        <f>L542*M542</f>
        <v/>
      </c>
      <c r="O542" s="3">
        <f>N542*0.412</f>
        <v/>
      </c>
      <c r="P542" s="3">
        <f>N542-O542</f>
        <v/>
      </c>
      <c r="Q542" s="4">
        <f>IF(N542=0,0,P542/N542)</f>
        <v/>
      </c>
    </row>
    <row r="543">
      <c r="A543" t="inlineStr">
        <is>
          <t>ORD-1541</t>
        </is>
      </c>
      <c r="B543" s="2" t="n">
        <v>45561</v>
      </c>
      <c r="C543" t="n">
        <v>2024</v>
      </c>
      <c r="D543" t="inlineStr">
        <is>
          <t>Q3</t>
        </is>
      </c>
      <c r="E543" t="inlineStr">
        <is>
          <t>Sep</t>
        </is>
      </c>
      <c r="F543" t="inlineStr">
        <is>
          <t>East</t>
        </is>
      </c>
      <c r="G543" t="inlineStr">
        <is>
          <t>Mid-Market</t>
        </is>
      </c>
      <c r="H543" t="inlineStr">
        <is>
          <t>Self-serve</t>
        </is>
      </c>
      <c r="I543" t="inlineStr">
        <is>
          <t>Add-ons</t>
        </is>
      </c>
      <c r="J543" t="inlineStr">
        <is>
          <t>Support Plus</t>
        </is>
      </c>
      <c r="K543" t="inlineStr">
        <is>
          <t>B. Khan</t>
        </is>
      </c>
      <c r="L543" t="n">
        <v>35</v>
      </c>
      <c r="M543" s="3" t="n">
        <v>371.64</v>
      </c>
      <c r="N543" s="3">
        <f>L543*M543</f>
        <v/>
      </c>
      <c r="O543" s="3">
        <f>N543*0.313</f>
        <v/>
      </c>
      <c r="P543" s="3">
        <f>N543-O543</f>
        <v/>
      </c>
      <c r="Q543" s="4">
        <f>IF(N543=0,0,P543/N543)</f>
        <v/>
      </c>
    </row>
    <row r="544">
      <c r="A544" t="inlineStr">
        <is>
          <t>ORD-1542</t>
        </is>
      </c>
      <c r="B544" s="2" t="n">
        <v>45353</v>
      </c>
      <c r="C544" t="n">
        <v>2024</v>
      </c>
      <c r="D544" t="inlineStr">
        <is>
          <t>Q1</t>
        </is>
      </c>
      <c r="E544" t="inlineStr">
        <is>
          <t>Mar</t>
        </is>
      </c>
      <c r="F544" t="inlineStr">
        <is>
          <t>North</t>
        </is>
      </c>
      <c r="G544" t="inlineStr">
        <is>
          <t>Enterprise</t>
        </is>
      </c>
      <c r="H544" t="inlineStr">
        <is>
          <t>Direct</t>
        </is>
      </c>
      <c r="I544" t="inlineStr">
        <is>
          <t>Services</t>
        </is>
      </c>
      <c r="J544" t="inlineStr">
        <is>
          <t>Training</t>
        </is>
      </c>
      <c r="K544" t="inlineStr">
        <is>
          <t>D. Iyer</t>
        </is>
      </c>
      <c r="L544" t="n">
        <v>21</v>
      </c>
      <c r="M544" s="3" t="n">
        <v>1816.26</v>
      </c>
      <c r="N544" s="3">
        <f>L544*M544</f>
        <v/>
      </c>
      <c r="O544" s="3">
        <f>N544*0.276</f>
        <v/>
      </c>
      <c r="P544" s="3">
        <f>N544-O544</f>
        <v/>
      </c>
      <c r="Q544" s="4">
        <f>IF(N544=0,0,P544/N544)</f>
        <v/>
      </c>
    </row>
    <row r="545">
      <c r="A545" t="inlineStr">
        <is>
          <t>ORD-1543</t>
        </is>
      </c>
      <c r="B545" s="2" t="n">
        <v>45458</v>
      </c>
      <c r="C545" t="n">
        <v>2024</v>
      </c>
      <c r="D545" t="inlineStr">
        <is>
          <t>Q2</t>
        </is>
      </c>
      <c r="E545" t="inlineStr">
        <is>
          <t>Jun</t>
        </is>
      </c>
      <c r="F545" t="inlineStr">
        <is>
          <t>East</t>
        </is>
      </c>
      <c r="G545" t="inlineStr">
        <is>
          <t>SMB</t>
        </is>
      </c>
      <c r="H545" t="inlineStr">
        <is>
          <t>Partner</t>
        </is>
      </c>
      <c r="I545" t="inlineStr">
        <is>
          <t>Add-ons</t>
        </is>
      </c>
      <c r="J545" t="inlineStr">
        <is>
          <t>Extra Seats</t>
        </is>
      </c>
      <c r="K545" t="inlineStr">
        <is>
          <t>D. Iyer</t>
        </is>
      </c>
      <c r="L545" t="n">
        <v>17</v>
      </c>
      <c r="M545" s="3" t="n">
        <v>711.74</v>
      </c>
      <c r="N545" s="3">
        <f>L545*M545</f>
        <v/>
      </c>
      <c r="O545" s="3">
        <f>N545*0.162</f>
        <v/>
      </c>
      <c r="P545" s="3">
        <f>N545-O545</f>
        <v/>
      </c>
      <c r="Q545" s="4">
        <f>IF(N545=0,0,P545/N545)</f>
        <v/>
      </c>
    </row>
    <row r="546">
      <c r="A546" t="inlineStr">
        <is>
          <t>ORD-1544</t>
        </is>
      </c>
      <c r="B546" s="2" t="n">
        <v>45467</v>
      </c>
      <c r="C546" t="n">
        <v>2024</v>
      </c>
      <c r="D546" t="inlineStr">
        <is>
          <t>Q2</t>
        </is>
      </c>
      <c r="E546" t="inlineStr">
        <is>
          <t>Jun</t>
        </is>
      </c>
      <c r="F546" t="inlineStr">
        <is>
          <t>West</t>
        </is>
      </c>
      <c r="G546" t="inlineStr">
        <is>
          <t>Enterprise</t>
        </is>
      </c>
      <c r="H546" t="inlineStr">
        <is>
          <t>Partner</t>
        </is>
      </c>
      <c r="I546" t="inlineStr">
        <is>
          <t>Add-ons</t>
        </is>
      </c>
      <c r="J546" t="inlineStr">
        <is>
          <t>Analytics</t>
        </is>
      </c>
      <c r="K546" t="inlineStr">
        <is>
          <t>C. Mehta</t>
        </is>
      </c>
      <c r="L546" t="n">
        <v>32</v>
      </c>
      <c r="M546" s="3" t="n">
        <v>1232.67</v>
      </c>
      <c r="N546" s="3">
        <f>L546*M546</f>
        <v/>
      </c>
      <c r="O546" s="3">
        <f>N546*0.194</f>
        <v/>
      </c>
      <c r="P546" s="3">
        <f>N546-O546</f>
        <v/>
      </c>
      <c r="Q546" s="4">
        <f>IF(N546=0,0,P546/N546)</f>
        <v/>
      </c>
    </row>
    <row r="547">
      <c r="A547" t="inlineStr">
        <is>
          <t>ORD-1545</t>
        </is>
      </c>
      <c r="B547" s="2" t="n">
        <v>45435</v>
      </c>
      <c r="C547" t="n">
        <v>2024</v>
      </c>
      <c r="D547" t="inlineStr">
        <is>
          <t>Q2</t>
        </is>
      </c>
      <c r="E547" t="inlineStr">
        <is>
          <t>May</t>
        </is>
      </c>
      <c r="F547" t="inlineStr">
        <is>
          <t>South</t>
        </is>
      </c>
      <c r="G547" t="inlineStr">
        <is>
          <t>SMB</t>
        </is>
      </c>
      <c r="H547" t="inlineStr">
        <is>
          <t>Self-serve</t>
        </is>
      </c>
      <c r="I547" t="inlineStr">
        <is>
          <t>Add-ons</t>
        </is>
      </c>
      <c r="J547" t="inlineStr">
        <is>
          <t>Analytics</t>
        </is>
      </c>
      <c r="K547" t="inlineStr">
        <is>
          <t>C. Mehta</t>
        </is>
      </c>
      <c r="L547" t="n">
        <v>37</v>
      </c>
      <c r="M547" s="3" t="n">
        <v>588.51</v>
      </c>
      <c r="N547" s="3">
        <f>L547*M547</f>
        <v/>
      </c>
      <c r="O547" s="3">
        <f>N547*0.209</f>
        <v/>
      </c>
      <c r="P547" s="3">
        <f>N547-O547</f>
        <v/>
      </c>
      <c r="Q547" s="4">
        <f>IF(N547=0,0,P547/N547)</f>
        <v/>
      </c>
    </row>
    <row r="548">
      <c r="A548" t="inlineStr">
        <is>
          <t>ORD-1546</t>
        </is>
      </c>
      <c r="B548" s="2" t="n">
        <v>45576</v>
      </c>
      <c r="C548" t="n">
        <v>2024</v>
      </c>
      <c r="D548" t="inlineStr">
        <is>
          <t>Q4</t>
        </is>
      </c>
      <c r="E548" t="inlineStr">
        <is>
          <t>Oct</t>
        </is>
      </c>
      <c r="F548" t="inlineStr">
        <is>
          <t>South</t>
        </is>
      </c>
      <c r="G548" t="inlineStr">
        <is>
          <t>Mid-Market</t>
        </is>
      </c>
      <c r="H548" t="inlineStr">
        <is>
          <t>Direct</t>
        </is>
      </c>
      <c r="I548" t="inlineStr">
        <is>
          <t>Add-ons</t>
        </is>
      </c>
      <c r="J548" t="inlineStr">
        <is>
          <t>Support Plus</t>
        </is>
      </c>
      <c r="K548" t="inlineStr">
        <is>
          <t>B. Khan</t>
        </is>
      </c>
      <c r="L548" t="n">
        <v>13</v>
      </c>
      <c r="M548" s="3" t="n">
        <v>620.86</v>
      </c>
      <c r="N548" s="3">
        <f>L548*M548</f>
        <v/>
      </c>
      <c r="O548" s="3">
        <f>N548*0.324</f>
        <v/>
      </c>
      <c r="P548" s="3">
        <f>N548-O548</f>
        <v/>
      </c>
      <c r="Q548" s="4">
        <f>IF(N548=0,0,P548/N548)</f>
        <v/>
      </c>
    </row>
    <row r="549">
      <c r="A549" t="inlineStr">
        <is>
          <t>ORD-1547</t>
        </is>
      </c>
      <c r="B549" s="2" t="n">
        <v>45360</v>
      </c>
      <c r="C549" t="n">
        <v>2024</v>
      </c>
      <c r="D549" t="inlineStr">
        <is>
          <t>Q1</t>
        </is>
      </c>
      <c r="E549" t="inlineStr">
        <is>
          <t>Mar</t>
        </is>
      </c>
      <c r="F549" t="inlineStr">
        <is>
          <t>North</t>
        </is>
      </c>
      <c r="G549" t="inlineStr">
        <is>
          <t>Mid-Market</t>
        </is>
      </c>
      <c r="H549" t="inlineStr">
        <is>
          <t>Direct</t>
        </is>
      </c>
      <c r="I549" t="inlineStr">
        <is>
          <t>Services</t>
        </is>
      </c>
      <c r="J549" t="inlineStr">
        <is>
          <t>Training</t>
        </is>
      </c>
      <c r="K549" t="inlineStr">
        <is>
          <t>F. Shah</t>
        </is>
      </c>
      <c r="L549" t="n">
        <v>32</v>
      </c>
      <c r="M549" s="3" t="n">
        <v>960.08</v>
      </c>
      <c r="N549" s="3">
        <f>L549*M549</f>
        <v/>
      </c>
      <c r="O549" s="3">
        <f>N549*0.401</f>
        <v/>
      </c>
      <c r="P549" s="3">
        <f>N549-O549</f>
        <v/>
      </c>
      <c r="Q549" s="4">
        <f>IF(N549=0,0,P549/N549)</f>
        <v/>
      </c>
    </row>
    <row r="550">
      <c r="A550" t="inlineStr">
        <is>
          <t>ORD-1548</t>
        </is>
      </c>
      <c r="B550" s="2" t="n">
        <v>45402</v>
      </c>
      <c r="C550" t="n">
        <v>2024</v>
      </c>
      <c r="D550" t="inlineStr">
        <is>
          <t>Q2</t>
        </is>
      </c>
      <c r="E550" t="inlineStr">
        <is>
          <t>Apr</t>
        </is>
      </c>
      <c r="F550" t="inlineStr">
        <is>
          <t>East</t>
        </is>
      </c>
      <c r="G550" t="inlineStr">
        <is>
          <t>Mid-Market</t>
        </is>
      </c>
      <c r="H550" t="inlineStr">
        <is>
          <t>Partner</t>
        </is>
      </c>
      <c r="I550" t="inlineStr">
        <is>
          <t>Add-ons</t>
        </is>
      </c>
      <c r="J550" t="inlineStr">
        <is>
          <t>Support Plus</t>
        </is>
      </c>
      <c r="K550" t="inlineStr">
        <is>
          <t>C. Mehta</t>
        </is>
      </c>
      <c r="L550" t="n">
        <v>41</v>
      </c>
      <c r="M550" s="3" t="n">
        <v>511.86</v>
      </c>
      <c r="N550" s="3">
        <f>L550*M550</f>
        <v/>
      </c>
      <c r="O550" s="3">
        <f>N550*0.282</f>
        <v/>
      </c>
      <c r="P550" s="3">
        <f>N550-O550</f>
        <v/>
      </c>
      <c r="Q550" s="4">
        <f>IF(N550=0,0,P550/N550)</f>
        <v/>
      </c>
    </row>
    <row r="551">
      <c r="A551" t="inlineStr">
        <is>
          <t>ORD-1549</t>
        </is>
      </c>
      <c r="B551" s="2" t="n">
        <v>45423</v>
      </c>
      <c r="C551" t="n">
        <v>2024</v>
      </c>
      <c r="D551" t="inlineStr">
        <is>
          <t>Q2</t>
        </is>
      </c>
      <c r="E551" t="inlineStr">
        <is>
          <t>May</t>
        </is>
      </c>
      <c r="F551" t="inlineStr">
        <is>
          <t>South</t>
        </is>
      </c>
      <c r="G551" t="inlineStr">
        <is>
          <t>Enterprise</t>
        </is>
      </c>
      <c r="H551" t="inlineStr">
        <is>
          <t>Self-serve</t>
        </is>
      </c>
      <c r="I551" t="inlineStr">
        <is>
          <t>Add-ons</t>
        </is>
      </c>
      <c r="J551" t="inlineStr">
        <is>
          <t>Analytics</t>
        </is>
      </c>
      <c r="K551" t="inlineStr">
        <is>
          <t>F. Shah</t>
        </is>
      </c>
      <c r="L551" t="n">
        <v>27</v>
      </c>
      <c r="M551" s="3" t="n">
        <v>566.72</v>
      </c>
      <c r="N551" s="3">
        <f>L551*M551</f>
        <v/>
      </c>
      <c r="O551" s="3">
        <f>N551*0.255</f>
        <v/>
      </c>
      <c r="P551" s="3">
        <f>N551-O551</f>
        <v/>
      </c>
      <c r="Q551" s="4">
        <f>IF(N551=0,0,P551/N551)</f>
        <v/>
      </c>
    </row>
    <row r="552">
      <c r="A552" t="inlineStr">
        <is>
          <t>ORD-1550</t>
        </is>
      </c>
      <c r="B552" s="2" t="n">
        <v>45381</v>
      </c>
      <c r="C552" t="n">
        <v>2024</v>
      </c>
      <c r="D552" t="inlineStr">
        <is>
          <t>Q1</t>
        </is>
      </c>
      <c r="E552" t="inlineStr">
        <is>
          <t>Mar</t>
        </is>
      </c>
      <c r="F552" t="inlineStr">
        <is>
          <t>West</t>
        </is>
      </c>
      <c r="G552" t="inlineStr">
        <is>
          <t>Enterprise</t>
        </is>
      </c>
      <c r="H552" t="inlineStr">
        <is>
          <t>Partner</t>
        </is>
      </c>
      <c r="I552" t="inlineStr">
        <is>
          <t>Add-ons</t>
        </is>
      </c>
      <c r="J552" t="inlineStr">
        <is>
          <t>Support Plus</t>
        </is>
      </c>
      <c r="K552" t="inlineStr">
        <is>
          <t>A. Rao</t>
        </is>
      </c>
      <c r="L552" t="n">
        <v>21</v>
      </c>
      <c r="M552" s="3" t="n">
        <v>1781.02</v>
      </c>
      <c r="N552" s="3">
        <f>L552*M552</f>
        <v/>
      </c>
      <c r="O552" s="3">
        <f>N552*0.336</f>
        <v/>
      </c>
      <c r="P552" s="3">
        <f>N552-O552</f>
        <v/>
      </c>
      <c r="Q552" s="4">
        <f>IF(N552=0,0,P552/N552)</f>
        <v/>
      </c>
    </row>
    <row r="553">
      <c r="A553" t="inlineStr">
        <is>
          <t>ORD-1551</t>
        </is>
      </c>
      <c r="B553" s="2" t="n">
        <v>45438</v>
      </c>
      <c r="C553" t="n">
        <v>2024</v>
      </c>
      <c r="D553" t="inlineStr">
        <is>
          <t>Q2</t>
        </is>
      </c>
      <c r="E553" t="inlineStr">
        <is>
          <t>May</t>
        </is>
      </c>
      <c r="F553" t="inlineStr">
        <is>
          <t>East</t>
        </is>
      </c>
      <c r="G553" t="inlineStr">
        <is>
          <t>Mid-Market</t>
        </is>
      </c>
      <c r="H553" t="inlineStr">
        <is>
          <t>Self-serve</t>
        </is>
      </c>
      <c r="I553" t="inlineStr">
        <is>
          <t>Add-ons</t>
        </is>
      </c>
      <c r="J553" t="inlineStr">
        <is>
          <t>Extra Seats</t>
        </is>
      </c>
      <c r="K553" t="inlineStr">
        <is>
          <t>E. Nair</t>
        </is>
      </c>
      <c r="L553" t="n">
        <v>10</v>
      </c>
      <c r="M553" s="3" t="n">
        <v>2210.17</v>
      </c>
      <c r="N553" s="3">
        <f>L553*M553</f>
        <v/>
      </c>
      <c r="O553" s="3">
        <f>N553*0.279</f>
        <v/>
      </c>
      <c r="P553" s="3">
        <f>N553-O553</f>
        <v/>
      </c>
      <c r="Q553" s="4">
        <f>IF(N553=0,0,P553/N553)</f>
        <v/>
      </c>
    </row>
    <row r="554">
      <c r="A554" t="inlineStr">
        <is>
          <t>ORD-1552</t>
        </is>
      </c>
      <c r="B554" s="2" t="n">
        <v>45328</v>
      </c>
      <c r="C554" t="n">
        <v>2024</v>
      </c>
      <c r="D554" t="inlineStr">
        <is>
          <t>Q1</t>
        </is>
      </c>
      <c r="E554" t="inlineStr">
        <is>
          <t>Feb</t>
        </is>
      </c>
      <c r="F554" t="inlineStr">
        <is>
          <t>East</t>
        </is>
      </c>
      <c r="G554" t="inlineStr">
        <is>
          <t>Enterprise</t>
        </is>
      </c>
      <c r="H554" t="inlineStr">
        <is>
          <t>Partner</t>
        </is>
      </c>
      <c r="I554" t="inlineStr">
        <is>
          <t>Subscriptions</t>
        </is>
      </c>
      <c r="J554" t="inlineStr">
        <is>
          <t>Starter</t>
        </is>
      </c>
      <c r="K554" t="inlineStr">
        <is>
          <t>F. Shah</t>
        </is>
      </c>
      <c r="L554" t="n">
        <v>22</v>
      </c>
      <c r="M554" s="3" t="n">
        <v>802.08</v>
      </c>
      <c r="N554" s="3">
        <f>L554*M554</f>
        <v/>
      </c>
      <c r="O554" s="3">
        <f>N554*0.37</f>
        <v/>
      </c>
      <c r="P554" s="3">
        <f>N554-O554</f>
        <v/>
      </c>
      <c r="Q554" s="4">
        <f>IF(N554=0,0,P554/N554)</f>
        <v/>
      </c>
    </row>
    <row r="555">
      <c r="A555" t="inlineStr">
        <is>
          <t>ORD-1553</t>
        </is>
      </c>
      <c r="B555" s="2" t="n">
        <v>45622</v>
      </c>
      <c r="C555" t="n">
        <v>2024</v>
      </c>
      <c r="D555" t="inlineStr">
        <is>
          <t>Q4</t>
        </is>
      </c>
      <c r="E555" t="inlineStr">
        <is>
          <t>Nov</t>
        </is>
      </c>
      <c r="F555" t="inlineStr">
        <is>
          <t>East</t>
        </is>
      </c>
      <c r="G555" t="inlineStr">
        <is>
          <t>Enterprise</t>
        </is>
      </c>
      <c r="H555" t="inlineStr">
        <is>
          <t>Self-serve</t>
        </is>
      </c>
      <c r="I555" t="inlineStr">
        <is>
          <t>Add-ons</t>
        </is>
      </c>
      <c r="J555" t="inlineStr">
        <is>
          <t>Support Plus</t>
        </is>
      </c>
      <c r="K555" t="inlineStr">
        <is>
          <t>E. Nair</t>
        </is>
      </c>
      <c r="L555" t="n">
        <v>29</v>
      </c>
      <c r="M555" s="3" t="n">
        <v>2018.14</v>
      </c>
      <c r="N555" s="3">
        <f>L555*M555</f>
        <v/>
      </c>
      <c r="O555" s="3">
        <f>N555*0.16</f>
        <v/>
      </c>
      <c r="P555" s="3">
        <f>N555-O555</f>
        <v/>
      </c>
      <c r="Q555" s="4">
        <f>IF(N555=0,0,P555/N555)</f>
        <v/>
      </c>
    </row>
    <row r="556">
      <c r="A556" t="inlineStr">
        <is>
          <t>ORD-1554</t>
        </is>
      </c>
      <c r="B556" s="2" t="n">
        <v>45503</v>
      </c>
      <c r="C556" t="n">
        <v>2024</v>
      </c>
      <c r="D556" t="inlineStr">
        <is>
          <t>Q3</t>
        </is>
      </c>
      <c r="E556" t="inlineStr">
        <is>
          <t>Jul</t>
        </is>
      </c>
      <c r="F556" t="inlineStr">
        <is>
          <t>South</t>
        </is>
      </c>
      <c r="G556" t="inlineStr">
        <is>
          <t>Enterprise</t>
        </is>
      </c>
      <c r="H556" t="inlineStr">
        <is>
          <t>Partner</t>
        </is>
      </c>
      <c r="I556" t="inlineStr">
        <is>
          <t>Subscriptions</t>
        </is>
      </c>
      <c r="J556" t="inlineStr">
        <is>
          <t>Starter</t>
        </is>
      </c>
      <c r="K556" t="inlineStr">
        <is>
          <t>F. Shah</t>
        </is>
      </c>
      <c r="L556" t="n">
        <v>2</v>
      </c>
      <c r="M556" s="3" t="n">
        <v>575.09</v>
      </c>
      <c r="N556" s="3">
        <f>L556*M556</f>
        <v/>
      </c>
      <c r="O556" s="3">
        <f>N556*0.24</f>
        <v/>
      </c>
      <c r="P556" s="3">
        <f>N556-O556</f>
        <v/>
      </c>
      <c r="Q556" s="4">
        <f>IF(N556=0,0,P556/N556)</f>
        <v/>
      </c>
    </row>
    <row r="557">
      <c r="A557" t="inlineStr">
        <is>
          <t>ORD-1555</t>
        </is>
      </c>
      <c r="B557" s="2" t="n">
        <v>45332</v>
      </c>
      <c r="C557" t="n">
        <v>2024</v>
      </c>
      <c r="D557" t="inlineStr">
        <is>
          <t>Q1</t>
        </is>
      </c>
      <c r="E557" t="inlineStr">
        <is>
          <t>Feb</t>
        </is>
      </c>
      <c r="F557" t="inlineStr">
        <is>
          <t>North</t>
        </is>
      </c>
      <c r="G557" t="inlineStr">
        <is>
          <t>Mid-Market</t>
        </is>
      </c>
      <c r="H557" t="inlineStr">
        <is>
          <t>Self-serve</t>
        </is>
      </c>
      <c r="I557" t="inlineStr">
        <is>
          <t>Subscriptions</t>
        </is>
      </c>
      <c r="J557" t="inlineStr">
        <is>
          <t>Starter</t>
        </is>
      </c>
      <c r="K557" t="inlineStr">
        <is>
          <t>A. Rao</t>
        </is>
      </c>
      <c r="L557" t="n">
        <v>26</v>
      </c>
      <c r="M557" s="3" t="n">
        <v>526.62</v>
      </c>
      <c r="N557" s="3">
        <f>L557*M557</f>
        <v/>
      </c>
      <c r="O557" s="3">
        <f>N557*0.442</f>
        <v/>
      </c>
      <c r="P557" s="3">
        <f>N557-O557</f>
        <v/>
      </c>
      <c r="Q557" s="4">
        <f>IF(N557=0,0,P557/N557)</f>
        <v/>
      </c>
    </row>
    <row r="558">
      <c r="A558" t="inlineStr">
        <is>
          <t>ORD-1556</t>
        </is>
      </c>
      <c r="B558" s="2" t="n">
        <v>45495</v>
      </c>
      <c r="C558" t="n">
        <v>2024</v>
      </c>
      <c r="D558" t="inlineStr">
        <is>
          <t>Q3</t>
        </is>
      </c>
      <c r="E558" t="inlineStr">
        <is>
          <t>Jul</t>
        </is>
      </c>
      <c r="F558" t="inlineStr">
        <is>
          <t>South</t>
        </is>
      </c>
      <c r="G558" t="inlineStr">
        <is>
          <t>SMB</t>
        </is>
      </c>
      <c r="H558" t="inlineStr">
        <is>
          <t>Self-serve</t>
        </is>
      </c>
      <c r="I558" t="inlineStr">
        <is>
          <t>Services</t>
        </is>
      </c>
      <c r="J558" t="inlineStr">
        <is>
          <t>Onboarding</t>
        </is>
      </c>
      <c r="K558" t="inlineStr">
        <is>
          <t>D. Iyer</t>
        </is>
      </c>
      <c r="L558" t="n">
        <v>7</v>
      </c>
      <c r="M558" s="3" t="n">
        <v>877.39</v>
      </c>
      <c r="N558" s="3">
        <f>L558*M558</f>
        <v/>
      </c>
      <c r="O558" s="3">
        <f>N558*0.357</f>
        <v/>
      </c>
      <c r="P558" s="3">
        <f>N558-O558</f>
        <v/>
      </c>
      <c r="Q558" s="4">
        <f>IF(N558=0,0,P558/N558)</f>
        <v/>
      </c>
    </row>
    <row r="559">
      <c r="A559" t="inlineStr">
        <is>
          <t>ORD-1557</t>
        </is>
      </c>
      <c r="B559" s="2" t="n">
        <v>45418</v>
      </c>
      <c r="C559" t="n">
        <v>2024</v>
      </c>
      <c r="D559" t="inlineStr">
        <is>
          <t>Q2</t>
        </is>
      </c>
      <c r="E559" t="inlineStr">
        <is>
          <t>May</t>
        </is>
      </c>
      <c r="F559" t="inlineStr">
        <is>
          <t>South</t>
        </is>
      </c>
      <c r="G559" t="inlineStr">
        <is>
          <t>Enterprise</t>
        </is>
      </c>
      <c r="H559" t="inlineStr">
        <is>
          <t>Direct</t>
        </is>
      </c>
      <c r="I559" t="inlineStr">
        <is>
          <t>Services</t>
        </is>
      </c>
      <c r="J559" t="inlineStr">
        <is>
          <t>Training</t>
        </is>
      </c>
      <c r="K559" t="inlineStr">
        <is>
          <t>A. Rao</t>
        </is>
      </c>
      <c r="L559" t="n">
        <v>29</v>
      </c>
      <c r="M559" s="3" t="n">
        <v>1678.26</v>
      </c>
      <c r="N559" s="3">
        <f>L559*M559</f>
        <v/>
      </c>
      <c r="O559" s="3">
        <f>N559*0.439</f>
        <v/>
      </c>
      <c r="P559" s="3">
        <f>N559-O559</f>
        <v/>
      </c>
      <c r="Q559" s="4">
        <f>IF(N559=0,0,P559/N559)</f>
        <v/>
      </c>
    </row>
    <row r="560">
      <c r="A560" t="inlineStr">
        <is>
          <t>ORD-1558</t>
        </is>
      </c>
      <c r="B560" s="2" t="n">
        <v>45474</v>
      </c>
      <c r="C560" t="n">
        <v>2024</v>
      </c>
      <c r="D560" t="inlineStr">
        <is>
          <t>Q3</t>
        </is>
      </c>
      <c r="E560" t="inlineStr">
        <is>
          <t>Jul</t>
        </is>
      </c>
      <c r="F560" t="inlineStr">
        <is>
          <t>East</t>
        </is>
      </c>
      <c r="G560" t="inlineStr">
        <is>
          <t>Enterprise</t>
        </is>
      </c>
      <c r="H560" t="inlineStr">
        <is>
          <t>Partner</t>
        </is>
      </c>
      <c r="I560" t="inlineStr">
        <is>
          <t>Add-ons</t>
        </is>
      </c>
      <c r="J560" t="inlineStr">
        <is>
          <t>Support Plus</t>
        </is>
      </c>
      <c r="K560" t="inlineStr">
        <is>
          <t>B. Khan</t>
        </is>
      </c>
      <c r="L560" t="n">
        <v>30</v>
      </c>
      <c r="M560" s="3" t="n">
        <v>2444.96</v>
      </c>
      <c r="N560" s="3">
        <f>L560*M560</f>
        <v/>
      </c>
      <c r="O560" s="3">
        <f>N560*0.159</f>
        <v/>
      </c>
      <c r="P560" s="3">
        <f>N560-O560</f>
        <v/>
      </c>
      <c r="Q560" s="4">
        <f>IF(N560=0,0,P560/N560)</f>
        <v/>
      </c>
    </row>
    <row r="561">
      <c r="A561" t="inlineStr">
        <is>
          <t>ORD-1559</t>
        </is>
      </c>
      <c r="B561" s="2" t="n">
        <v>45649</v>
      </c>
      <c r="C561" t="n">
        <v>2024</v>
      </c>
      <c r="D561" t="inlineStr">
        <is>
          <t>Q4</t>
        </is>
      </c>
      <c r="E561" t="inlineStr">
        <is>
          <t>Dec</t>
        </is>
      </c>
      <c r="F561" t="inlineStr">
        <is>
          <t>West</t>
        </is>
      </c>
      <c r="G561" t="inlineStr">
        <is>
          <t>Enterprise</t>
        </is>
      </c>
      <c r="H561" t="inlineStr">
        <is>
          <t>Self-serve</t>
        </is>
      </c>
      <c r="I561" t="inlineStr">
        <is>
          <t>Services</t>
        </is>
      </c>
      <c r="J561" t="inlineStr">
        <is>
          <t>Onboarding</t>
        </is>
      </c>
      <c r="K561" t="inlineStr">
        <is>
          <t>F. Shah</t>
        </is>
      </c>
      <c r="L561" t="n">
        <v>38</v>
      </c>
      <c r="M561" s="3" t="n">
        <v>1614.69</v>
      </c>
      <c r="N561" s="3">
        <f>L561*M561</f>
        <v/>
      </c>
      <c r="O561" s="3">
        <f>N561*0.29</f>
        <v/>
      </c>
      <c r="P561" s="3">
        <f>N561-O561</f>
        <v/>
      </c>
      <c r="Q561" s="4">
        <f>IF(N561=0,0,P561/N561)</f>
        <v/>
      </c>
    </row>
    <row r="562">
      <c r="A562" t="inlineStr">
        <is>
          <t>ORD-1560</t>
        </is>
      </c>
      <c r="B562" s="2" t="n">
        <v>45469</v>
      </c>
      <c r="C562" t="n">
        <v>2024</v>
      </c>
      <c r="D562" t="inlineStr">
        <is>
          <t>Q2</t>
        </is>
      </c>
      <c r="E562" t="inlineStr">
        <is>
          <t>Jun</t>
        </is>
      </c>
      <c r="F562" t="inlineStr">
        <is>
          <t>West</t>
        </is>
      </c>
      <c r="G562" t="inlineStr">
        <is>
          <t>Mid-Market</t>
        </is>
      </c>
      <c r="H562" t="inlineStr">
        <is>
          <t>Partner</t>
        </is>
      </c>
      <c r="I562" t="inlineStr">
        <is>
          <t>Add-ons</t>
        </is>
      </c>
      <c r="J562" t="inlineStr">
        <is>
          <t>Extra Seats</t>
        </is>
      </c>
      <c r="K562" t="inlineStr">
        <is>
          <t>D. Iyer</t>
        </is>
      </c>
      <c r="L562" t="n">
        <v>15</v>
      </c>
      <c r="M562" s="3" t="n">
        <v>2070.36</v>
      </c>
      <c r="N562" s="3">
        <f>L562*M562</f>
        <v/>
      </c>
      <c r="O562" s="3">
        <f>N562*0.372</f>
        <v/>
      </c>
      <c r="P562" s="3">
        <f>N562-O562</f>
        <v/>
      </c>
      <c r="Q562" s="4">
        <f>IF(N562=0,0,P562/N562)</f>
        <v/>
      </c>
    </row>
    <row r="563">
      <c r="A563" t="inlineStr">
        <is>
          <t>ORD-1561</t>
        </is>
      </c>
      <c r="B563" s="2" t="n">
        <v>45447</v>
      </c>
      <c r="C563" t="n">
        <v>2024</v>
      </c>
      <c r="D563" t="inlineStr">
        <is>
          <t>Q2</t>
        </is>
      </c>
      <c r="E563" t="inlineStr">
        <is>
          <t>Jun</t>
        </is>
      </c>
      <c r="F563" t="inlineStr">
        <is>
          <t>South</t>
        </is>
      </c>
      <c r="G563" t="inlineStr">
        <is>
          <t>Mid-Market</t>
        </is>
      </c>
      <c r="H563" t="inlineStr">
        <is>
          <t>Partner</t>
        </is>
      </c>
      <c r="I563" t="inlineStr">
        <is>
          <t>Subscriptions</t>
        </is>
      </c>
      <c r="J563" t="inlineStr">
        <is>
          <t>Starter</t>
        </is>
      </c>
      <c r="K563" t="inlineStr">
        <is>
          <t>D. Iyer</t>
        </is>
      </c>
      <c r="L563" t="n">
        <v>34</v>
      </c>
      <c r="M563" s="3" t="n">
        <v>2093.84</v>
      </c>
      <c r="N563" s="3">
        <f>L563*M563</f>
        <v/>
      </c>
      <c r="O563" s="3">
        <f>N563*0.289</f>
        <v/>
      </c>
      <c r="P563" s="3">
        <f>N563-O563</f>
        <v/>
      </c>
      <c r="Q563" s="4">
        <f>IF(N563=0,0,P563/N563)</f>
        <v/>
      </c>
    </row>
    <row r="564">
      <c r="A564" t="inlineStr">
        <is>
          <t>ORD-1562</t>
        </is>
      </c>
      <c r="B564" s="2" t="n">
        <v>45644</v>
      </c>
      <c r="C564" t="n">
        <v>2024</v>
      </c>
      <c r="D564" t="inlineStr">
        <is>
          <t>Q4</t>
        </is>
      </c>
      <c r="E564" t="inlineStr">
        <is>
          <t>Dec</t>
        </is>
      </c>
      <c r="F564" t="inlineStr">
        <is>
          <t>West</t>
        </is>
      </c>
      <c r="G564" t="inlineStr">
        <is>
          <t>Mid-Market</t>
        </is>
      </c>
      <c r="H564" t="inlineStr">
        <is>
          <t>Self-serve</t>
        </is>
      </c>
      <c r="I564" t="inlineStr">
        <is>
          <t>Add-ons</t>
        </is>
      </c>
      <c r="J564" t="inlineStr">
        <is>
          <t>Support Plus</t>
        </is>
      </c>
      <c r="K564" t="inlineStr">
        <is>
          <t>B. Khan</t>
        </is>
      </c>
      <c r="L564" t="n">
        <v>20</v>
      </c>
      <c r="M564" s="3" t="n">
        <v>320.09</v>
      </c>
      <c r="N564" s="3">
        <f>L564*M564</f>
        <v/>
      </c>
      <c r="O564" s="3">
        <f>N564*0.211</f>
        <v/>
      </c>
      <c r="P564" s="3">
        <f>N564-O564</f>
        <v/>
      </c>
      <c r="Q564" s="4">
        <f>IF(N564=0,0,P564/N564)</f>
        <v/>
      </c>
    </row>
    <row r="565">
      <c r="A565" t="inlineStr">
        <is>
          <t>ORD-1563</t>
        </is>
      </c>
      <c r="B565" s="2" t="n">
        <v>45572</v>
      </c>
      <c r="C565" t="n">
        <v>2024</v>
      </c>
      <c r="D565" t="inlineStr">
        <is>
          <t>Q4</t>
        </is>
      </c>
      <c r="E565" t="inlineStr">
        <is>
          <t>Oct</t>
        </is>
      </c>
      <c r="F565" t="inlineStr">
        <is>
          <t>West</t>
        </is>
      </c>
      <c r="G565" t="inlineStr">
        <is>
          <t>Mid-Market</t>
        </is>
      </c>
      <c r="H565" t="inlineStr">
        <is>
          <t>Direct</t>
        </is>
      </c>
      <c r="I565" t="inlineStr">
        <is>
          <t>Add-ons</t>
        </is>
      </c>
      <c r="J565" t="inlineStr">
        <is>
          <t>Analytics</t>
        </is>
      </c>
      <c r="K565" t="inlineStr">
        <is>
          <t>B. Khan</t>
        </is>
      </c>
      <c r="L565" t="n">
        <v>27</v>
      </c>
      <c r="M565" s="3" t="n">
        <v>2240.76</v>
      </c>
      <c r="N565" s="3">
        <f>L565*M565</f>
        <v/>
      </c>
      <c r="O565" s="3">
        <f>N565*0.236</f>
        <v/>
      </c>
      <c r="P565" s="3">
        <f>N565-O565</f>
        <v/>
      </c>
      <c r="Q565" s="4">
        <f>IF(N565=0,0,P565/N565)</f>
        <v/>
      </c>
    </row>
    <row r="566">
      <c r="A566" t="inlineStr">
        <is>
          <t>ORD-1564</t>
        </is>
      </c>
      <c r="B566" s="2" t="n">
        <v>45622</v>
      </c>
      <c r="C566" t="n">
        <v>2024</v>
      </c>
      <c r="D566" t="inlineStr">
        <is>
          <t>Q4</t>
        </is>
      </c>
      <c r="E566" t="inlineStr">
        <is>
          <t>Nov</t>
        </is>
      </c>
      <c r="F566" t="inlineStr">
        <is>
          <t>West</t>
        </is>
      </c>
      <c r="G566" t="inlineStr">
        <is>
          <t>Enterprise</t>
        </is>
      </c>
      <c r="H566" t="inlineStr">
        <is>
          <t>Direct</t>
        </is>
      </c>
      <c r="I566" t="inlineStr">
        <is>
          <t>Add-ons</t>
        </is>
      </c>
      <c r="J566" t="inlineStr">
        <is>
          <t>Support Plus</t>
        </is>
      </c>
      <c r="K566" t="inlineStr">
        <is>
          <t>E. Nair</t>
        </is>
      </c>
      <c r="L566" t="n">
        <v>15</v>
      </c>
      <c r="M566" s="3" t="n">
        <v>878.5599999999999</v>
      </c>
      <c r="N566" s="3">
        <f>L566*M566</f>
        <v/>
      </c>
      <c r="O566" s="3">
        <f>N566*0.221</f>
        <v/>
      </c>
      <c r="P566" s="3">
        <f>N566-O566</f>
        <v/>
      </c>
      <c r="Q566" s="4">
        <f>IF(N566=0,0,P566/N566)</f>
        <v/>
      </c>
    </row>
    <row r="567">
      <c r="A567" t="inlineStr">
        <is>
          <t>ORD-1565</t>
        </is>
      </c>
      <c r="B567" s="2" t="n">
        <v>45605</v>
      </c>
      <c r="C567" t="n">
        <v>2024</v>
      </c>
      <c r="D567" t="inlineStr">
        <is>
          <t>Q4</t>
        </is>
      </c>
      <c r="E567" t="inlineStr">
        <is>
          <t>Nov</t>
        </is>
      </c>
      <c r="F567" t="inlineStr">
        <is>
          <t>East</t>
        </is>
      </c>
      <c r="G567" t="inlineStr">
        <is>
          <t>Mid-Market</t>
        </is>
      </c>
      <c r="H567" t="inlineStr">
        <is>
          <t>Direct</t>
        </is>
      </c>
      <c r="I567" t="inlineStr">
        <is>
          <t>Services</t>
        </is>
      </c>
      <c r="J567" t="inlineStr">
        <is>
          <t>Training</t>
        </is>
      </c>
      <c r="K567" t="inlineStr">
        <is>
          <t>A. Rao</t>
        </is>
      </c>
      <c r="L567" t="n">
        <v>19</v>
      </c>
      <c r="M567" s="3" t="n">
        <v>1726.61</v>
      </c>
      <c r="N567" s="3">
        <f>L567*M567</f>
        <v/>
      </c>
      <c r="O567" s="3">
        <f>N567*0.395</f>
        <v/>
      </c>
      <c r="P567" s="3">
        <f>N567-O567</f>
        <v/>
      </c>
      <c r="Q567" s="4">
        <f>IF(N567=0,0,P567/N567)</f>
        <v/>
      </c>
    </row>
    <row r="568">
      <c r="A568" t="inlineStr">
        <is>
          <t>ORD-1566</t>
        </is>
      </c>
      <c r="B568" s="2" t="n">
        <v>45440</v>
      </c>
      <c r="C568" t="n">
        <v>2024</v>
      </c>
      <c r="D568" t="inlineStr">
        <is>
          <t>Q2</t>
        </is>
      </c>
      <c r="E568" t="inlineStr">
        <is>
          <t>May</t>
        </is>
      </c>
      <c r="F568" t="inlineStr">
        <is>
          <t>East</t>
        </is>
      </c>
      <c r="G568" t="inlineStr">
        <is>
          <t>Enterprise</t>
        </is>
      </c>
      <c r="H568" t="inlineStr">
        <is>
          <t>Self-serve</t>
        </is>
      </c>
      <c r="I568" t="inlineStr">
        <is>
          <t>Subscriptions</t>
        </is>
      </c>
      <c r="J568" t="inlineStr">
        <is>
          <t>Enterprise</t>
        </is>
      </c>
      <c r="K568" t="inlineStr">
        <is>
          <t>D. Iyer</t>
        </is>
      </c>
      <c r="L568" t="n">
        <v>30</v>
      </c>
      <c r="M568" s="3" t="n">
        <v>1659</v>
      </c>
      <c r="N568" s="3">
        <f>L568*M568</f>
        <v/>
      </c>
      <c r="O568" s="3">
        <f>N568*0.394</f>
        <v/>
      </c>
      <c r="P568" s="3">
        <f>N568-O568</f>
        <v/>
      </c>
      <c r="Q568" s="4">
        <f>IF(N568=0,0,P568/N568)</f>
        <v/>
      </c>
    </row>
    <row r="569">
      <c r="A569" t="inlineStr">
        <is>
          <t>ORD-1567</t>
        </is>
      </c>
      <c r="B569" s="2" t="n">
        <v>45301</v>
      </c>
      <c r="C569" t="n">
        <v>2024</v>
      </c>
      <c r="D569" t="inlineStr">
        <is>
          <t>Q1</t>
        </is>
      </c>
      <c r="E569" t="inlineStr">
        <is>
          <t>Jan</t>
        </is>
      </c>
      <c r="F569" t="inlineStr">
        <is>
          <t>North</t>
        </is>
      </c>
      <c r="G569" t="inlineStr">
        <is>
          <t>Mid-Market</t>
        </is>
      </c>
      <c r="H569" t="inlineStr">
        <is>
          <t>Partner</t>
        </is>
      </c>
      <c r="I569" t="inlineStr">
        <is>
          <t>Subscriptions</t>
        </is>
      </c>
      <c r="J569" t="inlineStr">
        <is>
          <t>Starter</t>
        </is>
      </c>
      <c r="K569" t="inlineStr">
        <is>
          <t>B. Khan</t>
        </is>
      </c>
      <c r="L569" t="n">
        <v>35</v>
      </c>
      <c r="M569" s="3" t="n">
        <v>348.69</v>
      </c>
      <c r="N569" s="3">
        <f>L569*M569</f>
        <v/>
      </c>
      <c r="O569" s="3">
        <f>N569*0.235</f>
        <v/>
      </c>
      <c r="P569" s="3">
        <f>N569-O569</f>
        <v/>
      </c>
      <c r="Q569" s="4">
        <f>IF(N569=0,0,P569/N569)</f>
        <v/>
      </c>
    </row>
    <row r="570">
      <c r="A570" t="inlineStr">
        <is>
          <t>ORD-1568</t>
        </is>
      </c>
      <c r="B570" s="2" t="n">
        <v>45296</v>
      </c>
      <c r="C570" t="n">
        <v>2024</v>
      </c>
      <c r="D570" t="inlineStr">
        <is>
          <t>Q1</t>
        </is>
      </c>
      <c r="E570" t="inlineStr">
        <is>
          <t>Jan</t>
        </is>
      </c>
      <c r="F570" t="inlineStr">
        <is>
          <t>South</t>
        </is>
      </c>
      <c r="G570" t="inlineStr">
        <is>
          <t>Mid-Market</t>
        </is>
      </c>
      <c r="H570" t="inlineStr">
        <is>
          <t>Partner</t>
        </is>
      </c>
      <c r="I570" t="inlineStr">
        <is>
          <t>Subscriptions</t>
        </is>
      </c>
      <c r="J570" t="inlineStr">
        <is>
          <t>Starter</t>
        </is>
      </c>
      <c r="K570" t="inlineStr">
        <is>
          <t>C. Mehta</t>
        </is>
      </c>
      <c r="L570" t="n">
        <v>10</v>
      </c>
      <c r="M570" s="3" t="n">
        <v>332.39</v>
      </c>
      <c r="N570" s="3">
        <f>L570*M570</f>
        <v/>
      </c>
      <c r="O570" s="3">
        <f>N570*0.214</f>
        <v/>
      </c>
      <c r="P570" s="3">
        <f>N570-O570</f>
        <v/>
      </c>
      <c r="Q570" s="4">
        <f>IF(N570=0,0,P570/N570)</f>
        <v/>
      </c>
    </row>
    <row r="571">
      <c r="A571" t="inlineStr">
        <is>
          <t>ORD-1569</t>
        </is>
      </c>
      <c r="B571" s="2" t="n">
        <v>45547</v>
      </c>
      <c r="C571" t="n">
        <v>2024</v>
      </c>
      <c r="D571" t="inlineStr">
        <is>
          <t>Q3</t>
        </is>
      </c>
      <c r="E571" t="inlineStr">
        <is>
          <t>Sep</t>
        </is>
      </c>
      <c r="F571" t="inlineStr">
        <is>
          <t>East</t>
        </is>
      </c>
      <c r="G571" t="inlineStr">
        <is>
          <t>SMB</t>
        </is>
      </c>
      <c r="H571" t="inlineStr">
        <is>
          <t>Direct</t>
        </is>
      </c>
      <c r="I571" t="inlineStr">
        <is>
          <t>Add-ons</t>
        </is>
      </c>
      <c r="J571" t="inlineStr">
        <is>
          <t>Support Plus</t>
        </is>
      </c>
      <c r="K571" t="inlineStr">
        <is>
          <t>A. Rao</t>
        </is>
      </c>
      <c r="L571" t="n">
        <v>45</v>
      </c>
      <c r="M571" s="3" t="n">
        <v>2041.13</v>
      </c>
      <c r="N571" s="3">
        <f>L571*M571</f>
        <v/>
      </c>
      <c r="O571" s="3">
        <f>N571*0.37</f>
        <v/>
      </c>
      <c r="P571" s="3">
        <f>N571-O571</f>
        <v/>
      </c>
      <c r="Q571" s="4">
        <f>IF(N571=0,0,P571/N571)</f>
        <v/>
      </c>
    </row>
    <row r="572">
      <c r="A572" t="inlineStr">
        <is>
          <t>ORD-1570</t>
        </is>
      </c>
      <c r="B572" s="2" t="n">
        <v>45492</v>
      </c>
      <c r="C572" t="n">
        <v>2024</v>
      </c>
      <c r="D572" t="inlineStr">
        <is>
          <t>Q3</t>
        </is>
      </c>
      <c r="E572" t="inlineStr">
        <is>
          <t>Jul</t>
        </is>
      </c>
      <c r="F572" t="inlineStr">
        <is>
          <t>East</t>
        </is>
      </c>
      <c r="G572" t="inlineStr">
        <is>
          <t>Mid-Market</t>
        </is>
      </c>
      <c r="H572" t="inlineStr">
        <is>
          <t>Direct</t>
        </is>
      </c>
      <c r="I572" t="inlineStr">
        <is>
          <t>Subscriptions</t>
        </is>
      </c>
      <c r="J572" t="inlineStr">
        <is>
          <t>Enterprise</t>
        </is>
      </c>
      <c r="K572" t="inlineStr">
        <is>
          <t>A. Rao</t>
        </is>
      </c>
      <c r="L572" t="n">
        <v>31</v>
      </c>
      <c r="M572" s="3" t="n">
        <v>699.53</v>
      </c>
      <c r="N572" s="3">
        <f>L572*M572</f>
        <v/>
      </c>
      <c r="O572" s="3">
        <f>N572*0.158</f>
        <v/>
      </c>
      <c r="P572" s="3">
        <f>N572-O572</f>
        <v/>
      </c>
      <c r="Q572" s="4">
        <f>IF(N572=0,0,P572/N572)</f>
        <v/>
      </c>
    </row>
    <row r="573">
      <c r="A573" t="inlineStr">
        <is>
          <t>ORD-1571</t>
        </is>
      </c>
      <c r="B573" s="2" t="n">
        <v>45419</v>
      </c>
      <c r="C573" t="n">
        <v>2024</v>
      </c>
      <c r="D573" t="inlineStr">
        <is>
          <t>Q2</t>
        </is>
      </c>
      <c r="E573" t="inlineStr">
        <is>
          <t>May</t>
        </is>
      </c>
      <c r="F573" t="inlineStr">
        <is>
          <t>North</t>
        </is>
      </c>
      <c r="G573" t="inlineStr">
        <is>
          <t>SMB</t>
        </is>
      </c>
      <c r="H573" t="inlineStr">
        <is>
          <t>Partner</t>
        </is>
      </c>
      <c r="I573" t="inlineStr">
        <is>
          <t>Add-ons</t>
        </is>
      </c>
      <c r="J573" t="inlineStr">
        <is>
          <t>Support Plus</t>
        </is>
      </c>
      <c r="K573" t="inlineStr">
        <is>
          <t>F. Shah</t>
        </is>
      </c>
      <c r="L573" t="n">
        <v>16</v>
      </c>
      <c r="M573" s="3" t="n">
        <v>1922.76</v>
      </c>
      <c r="N573" s="3">
        <f>L573*M573</f>
        <v/>
      </c>
      <c r="O573" s="3">
        <f>N573*0.219</f>
        <v/>
      </c>
      <c r="P573" s="3">
        <f>N573-O573</f>
        <v/>
      </c>
      <c r="Q573" s="4">
        <f>IF(N573=0,0,P573/N573)</f>
        <v/>
      </c>
    </row>
    <row r="574">
      <c r="A574" t="inlineStr">
        <is>
          <t>ORD-1572</t>
        </is>
      </c>
      <c r="B574" s="2" t="n">
        <v>45558</v>
      </c>
      <c r="C574" t="n">
        <v>2024</v>
      </c>
      <c r="D574" t="inlineStr">
        <is>
          <t>Q3</t>
        </is>
      </c>
      <c r="E574" t="inlineStr">
        <is>
          <t>Sep</t>
        </is>
      </c>
      <c r="F574" t="inlineStr">
        <is>
          <t>East</t>
        </is>
      </c>
      <c r="G574" t="inlineStr">
        <is>
          <t>Mid-Market</t>
        </is>
      </c>
      <c r="H574" t="inlineStr">
        <is>
          <t>Direct</t>
        </is>
      </c>
      <c r="I574" t="inlineStr">
        <is>
          <t>Services</t>
        </is>
      </c>
      <c r="J574" t="inlineStr">
        <is>
          <t>Onboarding</t>
        </is>
      </c>
      <c r="K574" t="inlineStr">
        <is>
          <t>F. Shah</t>
        </is>
      </c>
      <c r="L574" t="n">
        <v>31</v>
      </c>
      <c r="M574" s="3" t="n">
        <v>1156.07</v>
      </c>
      <c r="N574" s="3">
        <f>L574*M574</f>
        <v/>
      </c>
      <c r="O574" s="3">
        <f>N574*0.232</f>
        <v/>
      </c>
      <c r="P574" s="3">
        <f>N574-O574</f>
        <v/>
      </c>
      <c r="Q574" s="4">
        <f>IF(N574=0,0,P574/N574)</f>
        <v/>
      </c>
    </row>
    <row r="575">
      <c r="A575" t="inlineStr">
        <is>
          <t>ORD-1573</t>
        </is>
      </c>
      <c r="B575" s="2" t="n">
        <v>45573</v>
      </c>
      <c r="C575" t="n">
        <v>2024</v>
      </c>
      <c r="D575" t="inlineStr">
        <is>
          <t>Q4</t>
        </is>
      </c>
      <c r="E575" t="inlineStr">
        <is>
          <t>Oct</t>
        </is>
      </c>
      <c r="F575" t="inlineStr">
        <is>
          <t>East</t>
        </is>
      </c>
      <c r="G575" t="inlineStr">
        <is>
          <t>SMB</t>
        </is>
      </c>
      <c r="H575" t="inlineStr">
        <is>
          <t>Partner</t>
        </is>
      </c>
      <c r="I575" t="inlineStr">
        <is>
          <t>Services</t>
        </is>
      </c>
      <c r="J575" t="inlineStr">
        <is>
          <t>Onboarding</t>
        </is>
      </c>
      <c r="K575" t="inlineStr">
        <is>
          <t>A. Rao</t>
        </is>
      </c>
      <c r="L575" t="n">
        <v>17</v>
      </c>
      <c r="M575" s="3" t="n">
        <v>1358.71</v>
      </c>
      <c r="N575" s="3">
        <f>L575*M575</f>
        <v/>
      </c>
      <c r="O575" s="3">
        <f>N575*0.191</f>
        <v/>
      </c>
      <c r="P575" s="3">
        <f>N575-O575</f>
        <v/>
      </c>
      <c r="Q575" s="4">
        <f>IF(N575=0,0,P575/N575)</f>
        <v/>
      </c>
    </row>
    <row r="576">
      <c r="A576" t="inlineStr">
        <is>
          <t>ORD-1574</t>
        </is>
      </c>
      <c r="B576" s="2" t="n">
        <v>45403</v>
      </c>
      <c r="C576" t="n">
        <v>2024</v>
      </c>
      <c r="D576" t="inlineStr">
        <is>
          <t>Q2</t>
        </is>
      </c>
      <c r="E576" t="inlineStr">
        <is>
          <t>Apr</t>
        </is>
      </c>
      <c r="F576" t="inlineStr">
        <is>
          <t>North</t>
        </is>
      </c>
      <c r="G576" t="inlineStr">
        <is>
          <t>SMB</t>
        </is>
      </c>
      <c r="H576" t="inlineStr">
        <is>
          <t>Partner</t>
        </is>
      </c>
      <c r="I576" t="inlineStr">
        <is>
          <t>Subscriptions</t>
        </is>
      </c>
      <c r="J576" t="inlineStr">
        <is>
          <t>Starter</t>
        </is>
      </c>
      <c r="K576" t="inlineStr">
        <is>
          <t>E. Nair</t>
        </is>
      </c>
      <c r="L576" t="n">
        <v>41</v>
      </c>
      <c r="M576" s="3" t="n">
        <v>1255.16</v>
      </c>
      <c r="N576" s="3">
        <f>L576*M576</f>
        <v/>
      </c>
      <c r="O576" s="3">
        <f>N576*0.414</f>
        <v/>
      </c>
      <c r="P576" s="3">
        <f>N576-O576</f>
        <v/>
      </c>
      <c r="Q576" s="4">
        <f>IF(N576=0,0,P576/N576)</f>
        <v/>
      </c>
    </row>
    <row r="577">
      <c r="A577" t="inlineStr">
        <is>
          <t>ORD-1575</t>
        </is>
      </c>
      <c r="B577" s="2" t="n">
        <v>45416</v>
      </c>
      <c r="C577" t="n">
        <v>2024</v>
      </c>
      <c r="D577" t="inlineStr">
        <is>
          <t>Q2</t>
        </is>
      </c>
      <c r="E577" t="inlineStr">
        <is>
          <t>May</t>
        </is>
      </c>
      <c r="F577" t="inlineStr">
        <is>
          <t>West</t>
        </is>
      </c>
      <c r="G577" t="inlineStr">
        <is>
          <t>Enterprise</t>
        </is>
      </c>
      <c r="H577" t="inlineStr">
        <is>
          <t>Self-serve</t>
        </is>
      </c>
      <c r="I577" t="inlineStr">
        <is>
          <t>Subscriptions</t>
        </is>
      </c>
      <c r="J577" t="inlineStr">
        <is>
          <t>Starter</t>
        </is>
      </c>
      <c r="K577" t="inlineStr">
        <is>
          <t>B. Khan</t>
        </is>
      </c>
      <c r="L577" t="n">
        <v>38</v>
      </c>
      <c r="M577" s="3" t="n">
        <v>2023.65</v>
      </c>
      <c r="N577" s="3">
        <f>L577*M577</f>
        <v/>
      </c>
      <c r="O577" s="3">
        <f>N577*0.339</f>
        <v/>
      </c>
      <c r="P577" s="3">
        <f>N577-O577</f>
        <v/>
      </c>
      <c r="Q577" s="4">
        <f>IF(N577=0,0,P577/N577)</f>
        <v/>
      </c>
    </row>
    <row r="578">
      <c r="A578" t="inlineStr">
        <is>
          <t>ORD-1576</t>
        </is>
      </c>
      <c r="B578" s="2" t="n">
        <v>45337</v>
      </c>
      <c r="C578" t="n">
        <v>2024</v>
      </c>
      <c r="D578" t="inlineStr">
        <is>
          <t>Q1</t>
        </is>
      </c>
      <c r="E578" t="inlineStr">
        <is>
          <t>Feb</t>
        </is>
      </c>
      <c r="F578" t="inlineStr">
        <is>
          <t>East</t>
        </is>
      </c>
      <c r="G578" t="inlineStr">
        <is>
          <t>Enterprise</t>
        </is>
      </c>
      <c r="H578" t="inlineStr">
        <is>
          <t>Direct</t>
        </is>
      </c>
      <c r="I578" t="inlineStr">
        <is>
          <t>Subscriptions</t>
        </is>
      </c>
      <c r="J578" t="inlineStr">
        <is>
          <t>Starter</t>
        </is>
      </c>
      <c r="K578" t="inlineStr">
        <is>
          <t>A. Rao</t>
        </is>
      </c>
      <c r="L578" t="n">
        <v>32</v>
      </c>
      <c r="M578" s="3" t="n">
        <v>501.08</v>
      </c>
      <c r="N578" s="3">
        <f>L578*M578</f>
        <v/>
      </c>
      <c r="O578" s="3">
        <f>N578*0.343</f>
        <v/>
      </c>
      <c r="P578" s="3">
        <f>N578-O578</f>
        <v/>
      </c>
      <c r="Q578" s="4">
        <f>IF(N578=0,0,P578/N578)</f>
        <v/>
      </c>
    </row>
    <row r="579">
      <c r="A579" t="inlineStr">
        <is>
          <t>ORD-1577</t>
        </is>
      </c>
      <c r="B579" s="2" t="n">
        <v>45370</v>
      </c>
      <c r="C579" t="n">
        <v>2024</v>
      </c>
      <c r="D579" t="inlineStr">
        <is>
          <t>Q1</t>
        </is>
      </c>
      <c r="E579" t="inlineStr">
        <is>
          <t>Mar</t>
        </is>
      </c>
      <c r="F579" t="inlineStr">
        <is>
          <t>East</t>
        </is>
      </c>
      <c r="G579" t="inlineStr">
        <is>
          <t>Enterprise</t>
        </is>
      </c>
      <c r="H579" t="inlineStr">
        <is>
          <t>Self-serve</t>
        </is>
      </c>
      <c r="I579" t="inlineStr">
        <is>
          <t>Services</t>
        </is>
      </c>
      <c r="J579" t="inlineStr">
        <is>
          <t>Onboarding</t>
        </is>
      </c>
      <c r="K579" t="inlineStr">
        <is>
          <t>C. Mehta</t>
        </is>
      </c>
      <c r="L579" t="n">
        <v>9</v>
      </c>
      <c r="M579" s="3" t="n">
        <v>1373.25</v>
      </c>
      <c r="N579" s="3">
        <f>L579*M579</f>
        <v/>
      </c>
      <c r="O579" s="3">
        <f>N579*0.208</f>
        <v/>
      </c>
      <c r="P579" s="3">
        <f>N579-O579</f>
        <v/>
      </c>
      <c r="Q579" s="4">
        <f>IF(N579=0,0,P579/N579)</f>
        <v/>
      </c>
    </row>
    <row r="580">
      <c r="A580" t="inlineStr">
        <is>
          <t>ORD-1578</t>
        </is>
      </c>
      <c r="B580" s="2" t="n">
        <v>45516</v>
      </c>
      <c r="C580" t="n">
        <v>2024</v>
      </c>
      <c r="D580" t="inlineStr">
        <is>
          <t>Q3</t>
        </is>
      </c>
      <c r="E580" t="inlineStr">
        <is>
          <t>Aug</t>
        </is>
      </c>
      <c r="F580" t="inlineStr">
        <is>
          <t>East</t>
        </is>
      </c>
      <c r="G580" t="inlineStr">
        <is>
          <t>Enterprise</t>
        </is>
      </c>
      <c r="H580" t="inlineStr">
        <is>
          <t>Direct</t>
        </is>
      </c>
      <c r="I580" t="inlineStr">
        <is>
          <t>Services</t>
        </is>
      </c>
      <c r="J580" t="inlineStr">
        <is>
          <t>Onboarding</t>
        </is>
      </c>
      <c r="K580" t="inlineStr">
        <is>
          <t>C. Mehta</t>
        </is>
      </c>
      <c r="L580" t="n">
        <v>2</v>
      </c>
      <c r="M580" s="3" t="n">
        <v>1816.35</v>
      </c>
      <c r="N580" s="3">
        <f>L580*M580</f>
        <v/>
      </c>
      <c r="O580" s="3">
        <f>N580*0.18</f>
        <v/>
      </c>
      <c r="P580" s="3">
        <f>N580-O580</f>
        <v/>
      </c>
      <c r="Q580" s="4">
        <f>IF(N580=0,0,P580/N580)</f>
        <v/>
      </c>
    </row>
    <row r="581">
      <c r="A581" t="inlineStr">
        <is>
          <t>ORD-1579</t>
        </is>
      </c>
      <c r="B581" s="2" t="n">
        <v>45540</v>
      </c>
      <c r="C581" t="n">
        <v>2024</v>
      </c>
      <c r="D581" t="inlineStr">
        <is>
          <t>Q3</t>
        </is>
      </c>
      <c r="E581" t="inlineStr">
        <is>
          <t>Sep</t>
        </is>
      </c>
      <c r="F581" t="inlineStr">
        <is>
          <t>West</t>
        </is>
      </c>
      <c r="G581" t="inlineStr">
        <is>
          <t>SMB</t>
        </is>
      </c>
      <c r="H581" t="inlineStr">
        <is>
          <t>Self-serve</t>
        </is>
      </c>
      <c r="I581" t="inlineStr">
        <is>
          <t>Services</t>
        </is>
      </c>
      <c r="J581" t="inlineStr">
        <is>
          <t>Training</t>
        </is>
      </c>
      <c r="K581" t="inlineStr">
        <is>
          <t>B. Khan</t>
        </is>
      </c>
      <c r="L581" t="n">
        <v>36</v>
      </c>
      <c r="M581" s="3" t="n">
        <v>948.37</v>
      </c>
      <c r="N581" s="3">
        <f>L581*M581</f>
        <v/>
      </c>
      <c r="O581" s="3">
        <f>N581*0.287</f>
        <v/>
      </c>
      <c r="P581" s="3">
        <f>N581-O581</f>
        <v/>
      </c>
      <c r="Q581" s="4">
        <f>IF(N581=0,0,P581/N581)</f>
        <v/>
      </c>
    </row>
    <row r="582">
      <c r="A582" t="inlineStr">
        <is>
          <t>ORD-1580</t>
        </is>
      </c>
      <c r="B582" s="2" t="n">
        <v>45457</v>
      </c>
      <c r="C582" t="n">
        <v>2024</v>
      </c>
      <c r="D582" t="inlineStr">
        <is>
          <t>Q2</t>
        </is>
      </c>
      <c r="E582" t="inlineStr">
        <is>
          <t>Jun</t>
        </is>
      </c>
      <c r="F582" t="inlineStr">
        <is>
          <t>South</t>
        </is>
      </c>
      <c r="G582" t="inlineStr">
        <is>
          <t>SMB</t>
        </is>
      </c>
      <c r="H582" t="inlineStr">
        <is>
          <t>Self-serve</t>
        </is>
      </c>
      <c r="I582" t="inlineStr">
        <is>
          <t>Services</t>
        </is>
      </c>
      <c r="J582" t="inlineStr">
        <is>
          <t>Training</t>
        </is>
      </c>
      <c r="K582" t="inlineStr">
        <is>
          <t>B. Khan</t>
        </is>
      </c>
      <c r="L582" t="n">
        <v>18</v>
      </c>
      <c r="M582" s="3" t="n">
        <v>2208.86</v>
      </c>
      <c r="N582" s="3">
        <f>L582*M582</f>
        <v/>
      </c>
      <c r="O582" s="3">
        <f>N582*0.315</f>
        <v/>
      </c>
      <c r="P582" s="3">
        <f>N582-O582</f>
        <v/>
      </c>
      <c r="Q582" s="4">
        <f>IF(N582=0,0,P582/N582)</f>
        <v/>
      </c>
    </row>
    <row r="583">
      <c r="A583" t="inlineStr">
        <is>
          <t>ORD-1581</t>
        </is>
      </c>
      <c r="B583" s="2" t="n">
        <v>45426</v>
      </c>
      <c r="C583" t="n">
        <v>2024</v>
      </c>
      <c r="D583" t="inlineStr">
        <is>
          <t>Q2</t>
        </is>
      </c>
      <c r="E583" t="inlineStr">
        <is>
          <t>May</t>
        </is>
      </c>
      <c r="F583" t="inlineStr">
        <is>
          <t>West</t>
        </is>
      </c>
      <c r="G583" t="inlineStr">
        <is>
          <t>Enterprise</t>
        </is>
      </c>
      <c r="H583" t="inlineStr">
        <is>
          <t>Direct</t>
        </is>
      </c>
      <c r="I583" t="inlineStr">
        <is>
          <t>Services</t>
        </is>
      </c>
      <c r="J583" t="inlineStr">
        <is>
          <t>Training</t>
        </is>
      </c>
      <c r="K583" t="inlineStr">
        <is>
          <t>A. Rao</t>
        </is>
      </c>
      <c r="L583" t="n">
        <v>30</v>
      </c>
      <c r="M583" s="3" t="n">
        <v>301.58</v>
      </c>
      <c r="N583" s="3">
        <f>L583*M583</f>
        <v/>
      </c>
      <c r="O583" s="3">
        <f>N583*0.264</f>
        <v/>
      </c>
      <c r="P583" s="3">
        <f>N583-O583</f>
        <v/>
      </c>
      <c r="Q583" s="4">
        <f>IF(N583=0,0,P583/N583)</f>
        <v/>
      </c>
    </row>
    <row r="584">
      <c r="A584" t="inlineStr">
        <is>
          <t>ORD-1582</t>
        </is>
      </c>
      <c r="B584" s="2" t="n">
        <v>45478</v>
      </c>
      <c r="C584" t="n">
        <v>2024</v>
      </c>
      <c r="D584" t="inlineStr">
        <is>
          <t>Q3</t>
        </is>
      </c>
      <c r="E584" t="inlineStr">
        <is>
          <t>Jul</t>
        </is>
      </c>
      <c r="F584" t="inlineStr">
        <is>
          <t>West</t>
        </is>
      </c>
      <c r="G584" t="inlineStr">
        <is>
          <t>SMB</t>
        </is>
      </c>
      <c r="H584" t="inlineStr">
        <is>
          <t>Self-serve</t>
        </is>
      </c>
      <c r="I584" t="inlineStr">
        <is>
          <t>Services</t>
        </is>
      </c>
      <c r="J584" t="inlineStr">
        <is>
          <t>Onboarding</t>
        </is>
      </c>
      <c r="K584" t="inlineStr">
        <is>
          <t>F. Shah</t>
        </is>
      </c>
      <c r="L584" t="n">
        <v>21</v>
      </c>
      <c r="M584" s="3" t="n">
        <v>1886.21</v>
      </c>
      <c r="N584" s="3">
        <f>L584*M584</f>
        <v/>
      </c>
      <c r="O584" s="3">
        <f>N584*0.301</f>
        <v/>
      </c>
      <c r="P584" s="3">
        <f>N584-O584</f>
        <v/>
      </c>
      <c r="Q584" s="4">
        <f>IF(N584=0,0,P584/N584)</f>
        <v/>
      </c>
    </row>
    <row r="585">
      <c r="A585" t="inlineStr">
        <is>
          <t>ORD-1583</t>
        </is>
      </c>
      <c r="B585" s="2" t="n">
        <v>45574</v>
      </c>
      <c r="C585" t="n">
        <v>2024</v>
      </c>
      <c r="D585" t="inlineStr">
        <is>
          <t>Q4</t>
        </is>
      </c>
      <c r="E585" t="inlineStr">
        <is>
          <t>Oct</t>
        </is>
      </c>
      <c r="F585" t="inlineStr">
        <is>
          <t>East</t>
        </is>
      </c>
      <c r="G585" t="inlineStr">
        <is>
          <t>SMB</t>
        </is>
      </c>
      <c r="H585" t="inlineStr">
        <is>
          <t>Direct</t>
        </is>
      </c>
      <c r="I585" t="inlineStr">
        <is>
          <t>Subscriptions</t>
        </is>
      </c>
      <c r="J585" t="inlineStr">
        <is>
          <t>Enterprise</t>
        </is>
      </c>
      <c r="K585" t="inlineStr">
        <is>
          <t>E. Nair</t>
        </is>
      </c>
      <c r="L585" t="n">
        <v>19</v>
      </c>
      <c r="M585" s="3" t="n">
        <v>1009.72</v>
      </c>
      <c r="N585" s="3">
        <f>L585*M585</f>
        <v/>
      </c>
      <c r="O585" s="3">
        <f>N585*0.252</f>
        <v/>
      </c>
      <c r="P585" s="3">
        <f>N585-O585</f>
        <v/>
      </c>
      <c r="Q585" s="4">
        <f>IF(N585=0,0,P585/N585)</f>
        <v/>
      </c>
    </row>
    <row r="586">
      <c r="A586" t="inlineStr">
        <is>
          <t>ORD-1584</t>
        </is>
      </c>
      <c r="B586" s="2" t="n">
        <v>45314</v>
      </c>
      <c r="C586" t="n">
        <v>2024</v>
      </c>
      <c r="D586" t="inlineStr">
        <is>
          <t>Q1</t>
        </is>
      </c>
      <c r="E586" t="inlineStr">
        <is>
          <t>Jan</t>
        </is>
      </c>
      <c r="F586" t="inlineStr">
        <is>
          <t>West</t>
        </is>
      </c>
      <c r="G586" t="inlineStr">
        <is>
          <t>SMB</t>
        </is>
      </c>
      <c r="H586" t="inlineStr">
        <is>
          <t>Direct</t>
        </is>
      </c>
      <c r="I586" t="inlineStr">
        <is>
          <t>Subscriptions</t>
        </is>
      </c>
      <c r="J586" t="inlineStr">
        <is>
          <t>Starter</t>
        </is>
      </c>
      <c r="K586" t="inlineStr">
        <is>
          <t>A. Rao</t>
        </is>
      </c>
      <c r="L586" t="n">
        <v>3</v>
      </c>
      <c r="M586" s="3" t="n">
        <v>744.5700000000001</v>
      </c>
      <c r="N586" s="3">
        <f>L586*M586</f>
        <v/>
      </c>
      <c r="O586" s="3">
        <f>N586*0.279</f>
        <v/>
      </c>
      <c r="P586" s="3">
        <f>N586-O586</f>
        <v/>
      </c>
      <c r="Q586" s="4">
        <f>IF(N586=0,0,P586/N586)</f>
        <v/>
      </c>
    </row>
    <row r="587">
      <c r="A587" t="inlineStr">
        <is>
          <t>ORD-1585</t>
        </is>
      </c>
      <c r="B587" s="2" t="n">
        <v>45490</v>
      </c>
      <c r="C587" t="n">
        <v>2024</v>
      </c>
      <c r="D587" t="inlineStr">
        <is>
          <t>Q3</t>
        </is>
      </c>
      <c r="E587" t="inlineStr">
        <is>
          <t>Jul</t>
        </is>
      </c>
      <c r="F587" t="inlineStr">
        <is>
          <t>East</t>
        </is>
      </c>
      <c r="G587" t="inlineStr">
        <is>
          <t>SMB</t>
        </is>
      </c>
      <c r="H587" t="inlineStr">
        <is>
          <t>Partner</t>
        </is>
      </c>
      <c r="I587" t="inlineStr">
        <is>
          <t>Services</t>
        </is>
      </c>
      <c r="J587" t="inlineStr">
        <is>
          <t>Training</t>
        </is>
      </c>
      <c r="K587" t="inlineStr">
        <is>
          <t>B. Khan</t>
        </is>
      </c>
      <c r="L587" t="n">
        <v>34</v>
      </c>
      <c r="M587" s="3" t="n">
        <v>1672.74</v>
      </c>
      <c r="N587" s="3">
        <f>L587*M587</f>
        <v/>
      </c>
      <c r="O587" s="3">
        <f>N587*0.268</f>
        <v/>
      </c>
      <c r="P587" s="3">
        <f>N587-O587</f>
        <v/>
      </c>
      <c r="Q587" s="4">
        <f>IF(N587=0,0,P587/N587)</f>
        <v/>
      </c>
    </row>
    <row r="588">
      <c r="A588" t="inlineStr">
        <is>
          <t>ORD-1586</t>
        </is>
      </c>
      <c r="B588" s="2" t="n">
        <v>45328</v>
      </c>
      <c r="C588" t="n">
        <v>2024</v>
      </c>
      <c r="D588" t="inlineStr">
        <is>
          <t>Q1</t>
        </is>
      </c>
      <c r="E588" t="inlineStr">
        <is>
          <t>Feb</t>
        </is>
      </c>
      <c r="F588" t="inlineStr">
        <is>
          <t>North</t>
        </is>
      </c>
      <c r="G588" t="inlineStr">
        <is>
          <t>Mid-Market</t>
        </is>
      </c>
      <c r="H588" t="inlineStr">
        <is>
          <t>Self-serve</t>
        </is>
      </c>
      <c r="I588" t="inlineStr">
        <is>
          <t>Subscriptions</t>
        </is>
      </c>
      <c r="J588" t="inlineStr">
        <is>
          <t>Starter</t>
        </is>
      </c>
      <c r="K588" t="inlineStr">
        <is>
          <t>A. Rao</t>
        </is>
      </c>
      <c r="L588" t="n">
        <v>42</v>
      </c>
      <c r="M588" s="3" t="n">
        <v>1381.09</v>
      </c>
      <c r="N588" s="3">
        <f>L588*M588</f>
        <v/>
      </c>
      <c r="O588" s="3">
        <f>N588*0.342</f>
        <v/>
      </c>
      <c r="P588" s="3">
        <f>N588-O588</f>
        <v/>
      </c>
      <c r="Q588" s="4">
        <f>IF(N588=0,0,P588/N588)</f>
        <v/>
      </c>
    </row>
    <row r="589">
      <c r="A589" t="inlineStr">
        <is>
          <t>ORD-1587</t>
        </is>
      </c>
      <c r="B589" s="2" t="n">
        <v>45504</v>
      </c>
      <c r="C589" t="n">
        <v>2024</v>
      </c>
      <c r="D589" t="inlineStr">
        <is>
          <t>Q3</t>
        </is>
      </c>
      <c r="E589" t="inlineStr">
        <is>
          <t>Jul</t>
        </is>
      </c>
      <c r="F589" t="inlineStr">
        <is>
          <t>East</t>
        </is>
      </c>
      <c r="G589" t="inlineStr">
        <is>
          <t>Enterprise</t>
        </is>
      </c>
      <c r="H589" t="inlineStr">
        <is>
          <t>Direct</t>
        </is>
      </c>
      <c r="I589" t="inlineStr">
        <is>
          <t>Add-ons</t>
        </is>
      </c>
      <c r="J589" t="inlineStr">
        <is>
          <t>Extra Seats</t>
        </is>
      </c>
      <c r="K589" t="inlineStr">
        <is>
          <t>F. Shah</t>
        </is>
      </c>
      <c r="L589" t="n">
        <v>4</v>
      </c>
      <c r="M589" s="3" t="n">
        <v>2112.01</v>
      </c>
      <c r="N589" s="3">
        <f>L589*M589</f>
        <v/>
      </c>
      <c r="O589" s="3">
        <f>N589*0.429</f>
        <v/>
      </c>
      <c r="P589" s="3">
        <f>N589-O589</f>
        <v/>
      </c>
      <c r="Q589" s="4">
        <f>IF(N589=0,0,P589/N589)</f>
        <v/>
      </c>
    </row>
    <row r="590">
      <c r="A590" t="inlineStr">
        <is>
          <t>ORD-1588</t>
        </is>
      </c>
      <c r="B590" s="2" t="n">
        <v>45447</v>
      </c>
      <c r="C590" t="n">
        <v>2024</v>
      </c>
      <c r="D590" t="inlineStr">
        <is>
          <t>Q2</t>
        </is>
      </c>
      <c r="E590" t="inlineStr">
        <is>
          <t>Jun</t>
        </is>
      </c>
      <c r="F590" t="inlineStr">
        <is>
          <t>South</t>
        </is>
      </c>
      <c r="G590" t="inlineStr">
        <is>
          <t>Enterprise</t>
        </is>
      </c>
      <c r="H590" t="inlineStr">
        <is>
          <t>Partner</t>
        </is>
      </c>
      <c r="I590" t="inlineStr">
        <is>
          <t>Subscriptions</t>
        </is>
      </c>
      <c r="J590" t="inlineStr">
        <is>
          <t>Starter</t>
        </is>
      </c>
      <c r="K590" t="inlineStr">
        <is>
          <t>B. Khan</t>
        </is>
      </c>
      <c r="L590" t="n">
        <v>34</v>
      </c>
      <c r="M590" s="3" t="n">
        <v>513.66</v>
      </c>
      <c r="N590" s="3">
        <f>L590*M590</f>
        <v/>
      </c>
      <c r="O590" s="3">
        <f>N590*0.392</f>
        <v/>
      </c>
      <c r="P590" s="3">
        <f>N590-O590</f>
        <v/>
      </c>
      <c r="Q590" s="4">
        <f>IF(N590=0,0,P590/N590)</f>
        <v/>
      </c>
    </row>
    <row r="591">
      <c r="A591" t="inlineStr">
        <is>
          <t>ORD-1589</t>
        </is>
      </c>
      <c r="B591" s="2" t="n">
        <v>45628</v>
      </c>
      <c r="C591" t="n">
        <v>2024</v>
      </c>
      <c r="D591" t="inlineStr">
        <is>
          <t>Q4</t>
        </is>
      </c>
      <c r="E591" t="inlineStr">
        <is>
          <t>Dec</t>
        </is>
      </c>
      <c r="F591" t="inlineStr">
        <is>
          <t>West</t>
        </is>
      </c>
      <c r="G591" t="inlineStr">
        <is>
          <t>Enterprise</t>
        </is>
      </c>
      <c r="H591" t="inlineStr">
        <is>
          <t>Direct</t>
        </is>
      </c>
      <c r="I591" t="inlineStr">
        <is>
          <t>Subscriptions</t>
        </is>
      </c>
      <c r="J591" t="inlineStr">
        <is>
          <t>Enterprise</t>
        </is>
      </c>
      <c r="K591" t="inlineStr">
        <is>
          <t>F. Shah</t>
        </is>
      </c>
      <c r="L591" t="n">
        <v>41</v>
      </c>
      <c r="M591" s="3" t="n">
        <v>2384.51</v>
      </c>
      <c r="N591" s="3">
        <f>L591*M591</f>
        <v/>
      </c>
      <c r="O591" s="3">
        <f>N591*0.277</f>
        <v/>
      </c>
      <c r="P591" s="3">
        <f>N591-O591</f>
        <v/>
      </c>
      <c r="Q591" s="4">
        <f>IF(N591=0,0,P591/N591)</f>
        <v/>
      </c>
    </row>
    <row r="592">
      <c r="A592" t="inlineStr">
        <is>
          <t>ORD-1590</t>
        </is>
      </c>
      <c r="B592" s="2" t="n">
        <v>45637</v>
      </c>
      <c r="C592" t="n">
        <v>2024</v>
      </c>
      <c r="D592" t="inlineStr">
        <is>
          <t>Q4</t>
        </is>
      </c>
      <c r="E592" t="inlineStr">
        <is>
          <t>Dec</t>
        </is>
      </c>
      <c r="F592" t="inlineStr">
        <is>
          <t>North</t>
        </is>
      </c>
      <c r="G592" t="inlineStr">
        <is>
          <t>SMB</t>
        </is>
      </c>
      <c r="H592" t="inlineStr">
        <is>
          <t>Direct</t>
        </is>
      </c>
      <c r="I592" t="inlineStr">
        <is>
          <t>Add-ons</t>
        </is>
      </c>
      <c r="J592" t="inlineStr">
        <is>
          <t>Extra Seats</t>
        </is>
      </c>
      <c r="K592" t="inlineStr">
        <is>
          <t>E. Nair</t>
        </is>
      </c>
      <c r="L592" t="n">
        <v>43</v>
      </c>
      <c r="M592" s="3" t="n">
        <v>1239.56</v>
      </c>
      <c r="N592" s="3">
        <f>L592*M592</f>
        <v/>
      </c>
      <c r="O592" s="3">
        <f>N592*0.33</f>
        <v/>
      </c>
      <c r="P592" s="3">
        <f>N592-O592</f>
        <v/>
      </c>
      <c r="Q592" s="4">
        <f>IF(N592=0,0,P592/N592)</f>
        <v/>
      </c>
    </row>
    <row r="593">
      <c r="A593" t="inlineStr">
        <is>
          <t>ORD-1591</t>
        </is>
      </c>
      <c r="B593" s="2" t="n">
        <v>45464</v>
      </c>
      <c r="C593" t="n">
        <v>2024</v>
      </c>
      <c r="D593" t="inlineStr">
        <is>
          <t>Q2</t>
        </is>
      </c>
      <c r="E593" t="inlineStr">
        <is>
          <t>Jun</t>
        </is>
      </c>
      <c r="F593" t="inlineStr">
        <is>
          <t>West</t>
        </is>
      </c>
      <c r="G593" t="inlineStr">
        <is>
          <t>Mid-Market</t>
        </is>
      </c>
      <c r="H593" t="inlineStr">
        <is>
          <t>Partner</t>
        </is>
      </c>
      <c r="I593" t="inlineStr">
        <is>
          <t>Services</t>
        </is>
      </c>
      <c r="J593" t="inlineStr">
        <is>
          <t>Onboarding</t>
        </is>
      </c>
      <c r="K593" t="inlineStr">
        <is>
          <t>E. Nair</t>
        </is>
      </c>
      <c r="L593" t="n">
        <v>35</v>
      </c>
      <c r="M593" s="3" t="n">
        <v>2496.55</v>
      </c>
      <c r="N593" s="3">
        <f>L593*M593</f>
        <v/>
      </c>
      <c r="O593" s="3">
        <f>N593*0.153</f>
        <v/>
      </c>
      <c r="P593" s="3">
        <f>N593-O593</f>
        <v/>
      </c>
      <c r="Q593" s="4">
        <f>IF(N593=0,0,P593/N593)</f>
        <v/>
      </c>
    </row>
    <row r="594">
      <c r="A594" t="inlineStr">
        <is>
          <t>ORD-1592</t>
        </is>
      </c>
      <c r="B594" s="2" t="n">
        <v>45458</v>
      </c>
      <c r="C594" t="n">
        <v>2024</v>
      </c>
      <c r="D594" t="inlineStr">
        <is>
          <t>Q2</t>
        </is>
      </c>
      <c r="E594" t="inlineStr">
        <is>
          <t>Jun</t>
        </is>
      </c>
      <c r="F594" t="inlineStr">
        <is>
          <t>East</t>
        </is>
      </c>
      <c r="G594" t="inlineStr">
        <is>
          <t>Enterprise</t>
        </is>
      </c>
      <c r="H594" t="inlineStr">
        <is>
          <t>Direct</t>
        </is>
      </c>
      <c r="I594" t="inlineStr">
        <is>
          <t>Add-ons</t>
        </is>
      </c>
      <c r="J594" t="inlineStr">
        <is>
          <t>Support Plus</t>
        </is>
      </c>
      <c r="K594" t="inlineStr">
        <is>
          <t>E. Nair</t>
        </is>
      </c>
      <c r="L594" t="n">
        <v>49</v>
      </c>
      <c r="M594" s="3" t="n">
        <v>1693.13</v>
      </c>
      <c r="N594" s="3">
        <f>L594*M594</f>
        <v/>
      </c>
      <c r="O594" s="3">
        <f>N594*0.286</f>
        <v/>
      </c>
      <c r="P594" s="3">
        <f>N594-O594</f>
        <v/>
      </c>
      <c r="Q594" s="4">
        <f>IF(N594=0,0,P594/N594)</f>
        <v/>
      </c>
    </row>
    <row r="595">
      <c r="A595" t="inlineStr">
        <is>
          <t>ORD-1593</t>
        </is>
      </c>
      <c r="B595" s="2" t="n">
        <v>45484</v>
      </c>
      <c r="C595" t="n">
        <v>2024</v>
      </c>
      <c r="D595" t="inlineStr">
        <is>
          <t>Q3</t>
        </is>
      </c>
      <c r="E595" t="inlineStr">
        <is>
          <t>Jul</t>
        </is>
      </c>
      <c r="F595" t="inlineStr">
        <is>
          <t>West</t>
        </is>
      </c>
      <c r="G595" t="inlineStr">
        <is>
          <t>Mid-Market</t>
        </is>
      </c>
      <c r="H595" t="inlineStr">
        <is>
          <t>Direct</t>
        </is>
      </c>
      <c r="I595" t="inlineStr">
        <is>
          <t>Services</t>
        </is>
      </c>
      <c r="J595" t="inlineStr">
        <is>
          <t>Training</t>
        </is>
      </c>
      <c r="K595" t="inlineStr">
        <is>
          <t>F. Shah</t>
        </is>
      </c>
      <c r="L595" t="n">
        <v>24</v>
      </c>
      <c r="M595" s="3" t="n">
        <v>2415.63</v>
      </c>
      <c r="N595" s="3">
        <f>L595*M595</f>
        <v/>
      </c>
      <c r="O595" s="3">
        <f>N595*0.44</f>
        <v/>
      </c>
      <c r="P595" s="3">
        <f>N595-O595</f>
        <v/>
      </c>
      <c r="Q595" s="4">
        <f>IF(N595=0,0,P595/N595)</f>
        <v/>
      </c>
    </row>
    <row r="596">
      <c r="A596" t="inlineStr">
        <is>
          <t>ORD-1594</t>
        </is>
      </c>
      <c r="B596" s="2" t="n">
        <v>45437</v>
      </c>
      <c r="C596" t="n">
        <v>2024</v>
      </c>
      <c r="D596" t="inlineStr">
        <is>
          <t>Q2</t>
        </is>
      </c>
      <c r="E596" t="inlineStr">
        <is>
          <t>May</t>
        </is>
      </c>
      <c r="F596" t="inlineStr">
        <is>
          <t>East</t>
        </is>
      </c>
      <c r="G596" t="inlineStr">
        <is>
          <t>SMB</t>
        </is>
      </c>
      <c r="H596" t="inlineStr">
        <is>
          <t>Partner</t>
        </is>
      </c>
      <c r="I596" t="inlineStr">
        <is>
          <t>Services</t>
        </is>
      </c>
      <c r="J596" t="inlineStr">
        <is>
          <t>Onboarding</t>
        </is>
      </c>
      <c r="K596" t="inlineStr">
        <is>
          <t>B. Khan</t>
        </is>
      </c>
      <c r="L596" t="n">
        <v>34</v>
      </c>
      <c r="M596" s="3" t="n">
        <v>597.1900000000001</v>
      </c>
      <c r="N596" s="3">
        <f>L596*M596</f>
        <v/>
      </c>
      <c r="O596" s="3">
        <f>N596*0.386</f>
        <v/>
      </c>
      <c r="P596" s="3">
        <f>N596-O596</f>
        <v/>
      </c>
      <c r="Q596" s="4">
        <f>IF(N596=0,0,P596/N596)</f>
        <v/>
      </c>
    </row>
    <row r="597">
      <c r="A597" t="inlineStr">
        <is>
          <t>ORD-1595</t>
        </is>
      </c>
      <c r="B597" s="2" t="n">
        <v>45453</v>
      </c>
      <c r="C597" t="n">
        <v>2024</v>
      </c>
      <c r="D597" t="inlineStr">
        <is>
          <t>Q2</t>
        </is>
      </c>
      <c r="E597" t="inlineStr">
        <is>
          <t>Jun</t>
        </is>
      </c>
      <c r="F597" t="inlineStr">
        <is>
          <t>South</t>
        </is>
      </c>
      <c r="G597" t="inlineStr">
        <is>
          <t>SMB</t>
        </is>
      </c>
      <c r="H597" t="inlineStr">
        <is>
          <t>Direct</t>
        </is>
      </c>
      <c r="I597" t="inlineStr">
        <is>
          <t>Subscriptions</t>
        </is>
      </c>
      <c r="J597" t="inlineStr">
        <is>
          <t>Enterprise</t>
        </is>
      </c>
      <c r="K597" t="inlineStr">
        <is>
          <t>D. Iyer</t>
        </is>
      </c>
      <c r="L597" t="n">
        <v>18</v>
      </c>
      <c r="M597" s="3" t="n">
        <v>2322.05</v>
      </c>
      <c r="N597" s="3">
        <f>L597*M597</f>
        <v/>
      </c>
      <c r="O597" s="3">
        <f>N597*0.343</f>
        <v/>
      </c>
      <c r="P597" s="3">
        <f>N597-O597</f>
        <v/>
      </c>
      <c r="Q597" s="4">
        <f>IF(N597=0,0,P597/N597)</f>
        <v/>
      </c>
    </row>
    <row r="598">
      <c r="A598" t="inlineStr">
        <is>
          <t>ORD-1596</t>
        </is>
      </c>
      <c r="B598" s="2" t="n">
        <v>45362</v>
      </c>
      <c r="C598" t="n">
        <v>2024</v>
      </c>
      <c r="D598" t="inlineStr">
        <is>
          <t>Q1</t>
        </is>
      </c>
      <c r="E598" t="inlineStr">
        <is>
          <t>Mar</t>
        </is>
      </c>
      <c r="F598" t="inlineStr">
        <is>
          <t>East</t>
        </is>
      </c>
      <c r="G598" t="inlineStr">
        <is>
          <t>Mid-Market</t>
        </is>
      </c>
      <c r="H598" t="inlineStr">
        <is>
          <t>Direct</t>
        </is>
      </c>
      <c r="I598" t="inlineStr">
        <is>
          <t>Add-ons</t>
        </is>
      </c>
      <c r="J598" t="inlineStr">
        <is>
          <t>Support Plus</t>
        </is>
      </c>
      <c r="K598" t="inlineStr">
        <is>
          <t>E. Nair</t>
        </is>
      </c>
      <c r="L598" t="n">
        <v>38</v>
      </c>
      <c r="M598" s="3" t="n">
        <v>849.6900000000001</v>
      </c>
      <c r="N598" s="3">
        <f>L598*M598</f>
        <v/>
      </c>
      <c r="O598" s="3">
        <f>N598*0.33</f>
        <v/>
      </c>
      <c r="P598" s="3">
        <f>N598-O598</f>
        <v/>
      </c>
      <c r="Q598" s="4">
        <f>IF(N598=0,0,P598/N598)</f>
        <v/>
      </c>
    </row>
    <row r="599">
      <c r="A599" t="inlineStr">
        <is>
          <t>ORD-1597</t>
        </is>
      </c>
      <c r="B599" s="2" t="n">
        <v>45403</v>
      </c>
      <c r="C599" t="n">
        <v>2024</v>
      </c>
      <c r="D599" t="inlineStr">
        <is>
          <t>Q2</t>
        </is>
      </c>
      <c r="E599" t="inlineStr">
        <is>
          <t>Apr</t>
        </is>
      </c>
      <c r="F599" t="inlineStr">
        <is>
          <t>West</t>
        </is>
      </c>
      <c r="G599" t="inlineStr">
        <is>
          <t>SMB</t>
        </is>
      </c>
      <c r="H599" t="inlineStr">
        <is>
          <t>Partner</t>
        </is>
      </c>
      <c r="I599" t="inlineStr">
        <is>
          <t>Services</t>
        </is>
      </c>
      <c r="J599" t="inlineStr">
        <is>
          <t>Onboarding</t>
        </is>
      </c>
      <c r="K599" t="inlineStr">
        <is>
          <t>F. Shah</t>
        </is>
      </c>
      <c r="L599" t="n">
        <v>47</v>
      </c>
      <c r="M599" s="3" t="n">
        <v>1014.32</v>
      </c>
      <c r="N599" s="3">
        <f>L599*M599</f>
        <v/>
      </c>
      <c r="O599" s="3">
        <f>N599*0.239</f>
        <v/>
      </c>
      <c r="P599" s="3">
        <f>N599-O599</f>
        <v/>
      </c>
      <c r="Q599" s="4">
        <f>IF(N599=0,0,P599/N599)</f>
        <v/>
      </c>
    </row>
    <row r="600">
      <c r="A600" t="inlineStr">
        <is>
          <t>ORD-1598</t>
        </is>
      </c>
      <c r="B600" s="2" t="n">
        <v>45340</v>
      </c>
      <c r="C600" t="n">
        <v>2024</v>
      </c>
      <c r="D600" t="inlineStr">
        <is>
          <t>Q1</t>
        </is>
      </c>
      <c r="E600" t="inlineStr">
        <is>
          <t>Feb</t>
        </is>
      </c>
      <c r="F600" t="inlineStr">
        <is>
          <t>West</t>
        </is>
      </c>
      <c r="G600" t="inlineStr">
        <is>
          <t>SMB</t>
        </is>
      </c>
      <c r="H600" t="inlineStr">
        <is>
          <t>Direct</t>
        </is>
      </c>
      <c r="I600" t="inlineStr">
        <is>
          <t>Services</t>
        </is>
      </c>
      <c r="J600" t="inlineStr">
        <is>
          <t>Training</t>
        </is>
      </c>
      <c r="K600" t="inlineStr">
        <is>
          <t>C. Mehta</t>
        </is>
      </c>
      <c r="L600" t="n">
        <v>3</v>
      </c>
      <c r="M600" s="3" t="n">
        <v>1907.74</v>
      </c>
      <c r="N600" s="3">
        <f>L600*M600</f>
        <v/>
      </c>
      <c r="O600" s="3">
        <f>N600*0.346</f>
        <v/>
      </c>
      <c r="P600" s="3">
        <f>N600-O600</f>
        <v/>
      </c>
      <c r="Q600" s="4">
        <f>IF(N600=0,0,P600/N600)</f>
        <v/>
      </c>
    </row>
    <row r="601">
      <c r="A601" t="inlineStr">
        <is>
          <t>ORD-1599</t>
        </is>
      </c>
      <c r="B601" s="2" t="n">
        <v>45514</v>
      </c>
      <c r="C601" t="n">
        <v>2024</v>
      </c>
      <c r="D601" t="inlineStr">
        <is>
          <t>Q3</t>
        </is>
      </c>
      <c r="E601" t="inlineStr">
        <is>
          <t>Aug</t>
        </is>
      </c>
      <c r="F601" t="inlineStr">
        <is>
          <t>North</t>
        </is>
      </c>
      <c r="G601" t="inlineStr">
        <is>
          <t>Enterprise</t>
        </is>
      </c>
      <c r="H601" t="inlineStr">
        <is>
          <t>Self-serve</t>
        </is>
      </c>
      <c r="I601" t="inlineStr">
        <is>
          <t>Add-ons</t>
        </is>
      </c>
      <c r="J601" t="inlineStr">
        <is>
          <t>Analytics</t>
        </is>
      </c>
      <c r="K601" t="inlineStr">
        <is>
          <t>D. Iyer</t>
        </is>
      </c>
      <c r="L601" t="n">
        <v>50</v>
      </c>
      <c r="M601" s="3" t="n">
        <v>798.78</v>
      </c>
      <c r="N601" s="3">
        <f>L601*M601</f>
        <v/>
      </c>
      <c r="O601" s="3">
        <f>N601*0.434</f>
        <v/>
      </c>
      <c r="P601" s="3">
        <f>N601-O601</f>
        <v/>
      </c>
      <c r="Q601" s="4">
        <f>IF(N601=0,0,P601/N601)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16" customWidth="1" min="3" max="3"/>
    <col width="16" customWidth="1" min="4" max="4"/>
    <col width="16" customWidth="1" min="5" max="5"/>
    <col width="12" customWidth="1" min="6" max="6"/>
    <col width="12" customWidth="1" min="7" max="7"/>
  </cols>
  <sheetData>
    <row r="2">
      <c r="B2" s="5" t="inlineStr">
        <is>
          <t>KPI Dashboard — SaaS / Software</t>
        </is>
      </c>
    </row>
    <row r="3">
      <c r="B3" s="6" t="inlineStr">
        <is>
          <t>Actuals pull live from the Data sheet via SUMIFS/AVERAGEIF. Change the data and these move.</t>
        </is>
      </c>
    </row>
    <row r="5">
      <c r="B5" s="1" t="inlineStr">
        <is>
          <t>KPI</t>
        </is>
      </c>
      <c r="C5" s="1" t="inlineStr">
        <is>
          <t>Actual</t>
        </is>
      </c>
      <c r="D5" s="1" t="inlineStr">
        <is>
          <t>Target</t>
        </is>
      </c>
      <c r="E5" s="1" t="inlineStr">
        <is>
          <t>Variance</t>
        </is>
      </c>
      <c r="F5" s="1" t="inlineStr">
        <is>
          <t>Variance %</t>
        </is>
      </c>
      <c r="G5" s="1" t="inlineStr">
        <is>
          <t>Status</t>
        </is>
      </c>
    </row>
    <row r="6">
      <c r="B6" s="7" t="inlineStr">
        <is>
          <t>Total Revenue (ARR proxy)</t>
        </is>
      </c>
      <c r="C6" s="8">
        <f>SUM(Data!$N$2:$N$601)</f>
        <v/>
      </c>
      <c r="D6" s="8" t="n">
        <v>4000000</v>
      </c>
      <c r="E6" s="8">
        <f>C6-D6</f>
        <v/>
      </c>
      <c r="F6" s="9">
        <f>IF(D6=0,0,(C6-D6)/D6)</f>
        <v/>
      </c>
      <c r="G6" s="10">
        <f>IF(F6&gt;=0,"On track",IF(F6&gt;=-0.1,"Watch","Off track"))</f>
        <v/>
      </c>
    </row>
    <row r="7">
      <c r="B7" s="7" t="inlineStr">
        <is>
          <t>Gross Profit</t>
        </is>
      </c>
      <c r="C7" s="8">
        <f>SUM(Data!$P$2:$P$601)</f>
        <v/>
      </c>
      <c r="D7" s="8" t="n">
        <v>2600000</v>
      </c>
      <c r="E7" s="8">
        <f>C7-D7</f>
        <v/>
      </c>
      <c r="F7" s="9">
        <f>IF(D7=0,0,(C7-D7)/D7)</f>
        <v/>
      </c>
      <c r="G7" s="10">
        <f>IF(F7&gt;=0,"On track",IF(F7&gt;=-0.1,"Watch","Off track"))</f>
        <v/>
      </c>
    </row>
    <row r="8">
      <c r="B8" s="7" t="inlineStr">
        <is>
          <t>Gross Margin</t>
        </is>
      </c>
      <c r="C8" s="9">
        <f>AVERAGE(Data!$Q$2:$Q$601)</f>
        <v/>
      </c>
      <c r="D8" s="9" t="n">
        <v>0.68</v>
      </c>
      <c r="E8" s="9">
        <f>C8-D8</f>
        <v/>
      </c>
      <c r="F8" s="9">
        <f>IF(D8=0,0,(C8-D8)/D8)</f>
        <v/>
      </c>
      <c r="G8" s="10">
        <f>IF(F8&gt;=0,"On track",IF(F8&gt;=-0.1,"Watch","Off track"))</f>
        <v/>
      </c>
    </row>
    <row r="9">
      <c r="B9" s="7" t="inlineStr">
        <is>
          <t>New Customers</t>
        </is>
      </c>
      <c r="C9" s="8">
        <f>COUNTA(Data!$A$2:$A$601)</f>
        <v/>
      </c>
      <c r="D9" s="8" t="n">
        <v>520</v>
      </c>
      <c r="E9" s="8">
        <f>C9-D9</f>
        <v/>
      </c>
      <c r="F9" s="9">
        <f>IF(D9=0,0,(C9-D9)/D9)</f>
        <v/>
      </c>
      <c r="G9" s="10">
        <f>IF(F9&gt;=0,"On track",IF(F9&gt;=-0.1,"Watch","Off track"))</f>
        <v/>
      </c>
    </row>
  </sheetData>
  <conditionalFormatting sqref="G6:G9">
    <cfRule type="cellIs" priority="1" operator="equal" dxfId="0">
      <formula>"On track"</formula>
    </cfRule>
    <cfRule type="cellIs" priority="2" operator="equal" dxfId="1">
      <formula>"Watch"</formula>
    </cfRule>
    <cfRule type="cellIs" priority="3" operator="equal" dxfId="2">
      <formula>"Off track"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showGridLines="0" workbookViewId="0">
      <selection activeCell="A1" sqref="A1"/>
    </sheetView>
  </sheetViews>
  <sheetFormatPr baseColWidth="8" defaultRowHeight="15"/>
  <cols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2">
      <c r="B2" s="11" t="inlineStr">
        <is>
          <t>Matrix — Revenue by Region x Quarter (SUMIFS)</t>
        </is>
      </c>
    </row>
    <row r="3">
      <c r="B3" s="6" t="inlineStr">
        <is>
          <t>A hand-built cross-tab. Every cell is a SUMIFS — the formula-driven cousin of a PivotTable.</t>
        </is>
      </c>
    </row>
    <row r="5">
      <c r="B5" s="12" t="inlineStr">
        <is>
          <t>Region \ Quarter</t>
        </is>
      </c>
      <c r="C5" s="1" t="inlineStr">
        <is>
          <t>Q1</t>
        </is>
      </c>
      <c r="D5" s="1" t="inlineStr">
        <is>
          <t>Q2</t>
        </is>
      </c>
      <c r="E5" s="1" t="inlineStr">
        <is>
          <t>Q3</t>
        </is>
      </c>
      <c r="F5" s="1" t="inlineStr">
        <is>
          <t>Q4</t>
        </is>
      </c>
      <c r="G5" s="1" t="inlineStr">
        <is>
          <t>Total</t>
        </is>
      </c>
    </row>
    <row r="6">
      <c r="B6" s="13" t="inlineStr">
        <is>
          <t>North</t>
        </is>
      </c>
      <c r="C6" s="8">
        <f>SUMIFS(Data!$N$2:$N$601,Data!$F$2:$F$601,$B6,Data!$D$2:$D$601,C$5)</f>
        <v/>
      </c>
      <c r="D6" s="8">
        <f>SUMIFS(Data!$N$2:$N$601,Data!$F$2:$F$601,$B6,Data!$D$2:$D$601,D$5)</f>
        <v/>
      </c>
      <c r="E6" s="8">
        <f>SUMIFS(Data!$N$2:$N$601,Data!$F$2:$F$601,$B6,Data!$D$2:$D$601,E$5)</f>
        <v/>
      </c>
      <c r="F6" s="8">
        <f>SUMIFS(Data!$N$2:$N$601,Data!$F$2:$F$601,$B6,Data!$D$2:$D$601,F$5)</f>
        <v/>
      </c>
      <c r="G6" s="14">
        <f>SUM(C6:F6)</f>
        <v/>
      </c>
    </row>
    <row r="7">
      <c r="B7" s="13" t="inlineStr">
        <is>
          <t>South</t>
        </is>
      </c>
      <c r="C7" s="8">
        <f>SUMIFS(Data!$N$2:$N$601,Data!$F$2:$F$601,$B7,Data!$D$2:$D$601,C$5)</f>
        <v/>
      </c>
      <c r="D7" s="8">
        <f>SUMIFS(Data!$N$2:$N$601,Data!$F$2:$F$601,$B7,Data!$D$2:$D$601,D$5)</f>
        <v/>
      </c>
      <c r="E7" s="8">
        <f>SUMIFS(Data!$N$2:$N$601,Data!$F$2:$F$601,$B7,Data!$D$2:$D$601,E$5)</f>
        <v/>
      </c>
      <c r="F7" s="8">
        <f>SUMIFS(Data!$N$2:$N$601,Data!$F$2:$F$601,$B7,Data!$D$2:$D$601,F$5)</f>
        <v/>
      </c>
      <c r="G7" s="14">
        <f>SUM(C7:F7)</f>
        <v/>
      </c>
    </row>
    <row r="8">
      <c r="B8" s="13" t="inlineStr">
        <is>
          <t>East</t>
        </is>
      </c>
      <c r="C8" s="8">
        <f>SUMIFS(Data!$N$2:$N$601,Data!$F$2:$F$601,$B8,Data!$D$2:$D$601,C$5)</f>
        <v/>
      </c>
      <c r="D8" s="8">
        <f>SUMIFS(Data!$N$2:$N$601,Data!$F$2:$F$601,$B8,Data!$D$2:$D$601,D$5)</f>
        <v/>
      </c>
      <c r="E8" s="8">
        <f>SUMIFS(Data!$N$2:$N$601,Data!$F$2:$F$601,$B8,Data!$D$2:$D$601,E$5)</f>
        <v/>
      </c>
      <c r="F8" s="8">
        <f>SUMIFS(Data!$N$2:$N$601,Data!$F$2:$F$601,$B8,Data!$D$2:$D$601,F$5)</f>
        <v/>
      </c>
      <c r="G8" s="14">
        <f>SUM(C8:F8)</f>
        <v/>
      </c>
    </row>
    <row r="9">
      <c r="B9" s="13" t="inlineStr">
        <is>
          <t>West</t>
        </is>
      </c>
      <c r="C9" s="8">
        <f>SUMIFS(Data!$N$2:$N$601,Data!$F$2:$F$601,$B9,Data!$D$2:$D$601,C$5)</f>
        <v/>
      </c>
      <c r="D9" s="8">
        <f>SUMIFS(Data!$N$2:$N$601,Data!$F$2:$F$601,$B9,Data!$D$2:$D$601,D$5)</f>
        <v/>
      </c>
      <c r="E9" s="8">
        <f>SUMIFS(Data!$N$2:$N$601,Data!$F$2:$F$601,$B9,Data!$D$2:$D$601,E$5)</f>
        <v/>
      </c>
      <c r="F9" s="8">
        <f>SUMIFS(Data!$N$2:$N$601,Data!$F$2:$F$601,$B9,Data!$D$2:$D$601,F$5)</f>
        <v/>
      </c>
      <c r="G9" s="14">
        <f>SUM(C9:F9)</f>
        <v/>
      </c>
    </row>
    <row r="10">
      <c r="B10" s="13" t="inlineStr">
        <is>
          <t>Total</t>
        </is>
      </c>
      <c r="C10" s="15">
        <f>SUM(C6:C9)</f>
        <v/>
      </c>
      <c r="D10" s="15">
        <f>SUM(D6:D9)</f>
        <v/>
      </c>
      <c r="E10" s="15">
        <f>SUM(E6:E9)</f>
        <v/>
      </c>
      <c r="F10" s="15">
        <f>SUM(F6:F9)</f>
        <v/>
      </c>
      <c r="G10" s="15">
        <f>SUM(G6:G9)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90" customWidth="1" min="2" max="2"/>
  </cols>
  <sheetData>
    <row r="2">
      <c r="B2" s="11" t="inlineStr">
        <is>
          <t>PivotTable + Slicer (native Excel)</t>
        </is>
      </c>
    </row>
    <row r="3">
      <c r="B3" s="6" t="inlineStr">
        <is>
          <t>Two ways to get a real, native PivotTable off the SalesData table — pick either.</t>
        </is>
      </c>
    </row>
    <row r="5">
      <c r="B5" s="16" t="inlineStr">
        <is>
          <t>Option A — 3 clicks (any Excel)</t>
        </is>
      </c>
    </row>
    <row r="6">
      <c r="B6" s="17" t="inlineStr">
        <is>
          <t>1.  Go to the Data sheet and click any cell inside the blue SalesData table.</t>
        </is>
      </c>
    </row>
    <row r="7">
      <c r="B7" s="17" t="inlineStr">
        <is>
          <t>2.  Insert ▸ PivotTable ▸ put it on a New Worksheet ▸ OK.</t>
        </is>
      </c>
    </row>
    <row r="8">
      <c r="B8" s="17" t="inlineStr">
        <is>
          <t>3.  Drag  Category → Rows,  Quarter → Columns,  Revenue → Values,  Region → Filters.</t>
        </is>
      </c>
    </row>
    <row r="9">
      <c r="B9" s="17" t="inlineStr">
        <is>
          <t xml:space="preserve">     Then PivotTable Analyze ▸ Insert Slicer ▸ tick Region for a click-to-filter slicer.</t>
        </is>
      </c>
    </row>
    <row r="10">
      <c r="B10" s="17" t="inlineStr"/>
    </row>
    <row r="11">
      <c r="B11" s="16" t="inlineStr">
        <is>
          <t>Option B — one-click macro (Windows/Mac Excel with macros)</t>
        </is>
      </c>
    </row>
    <row r="12">
      <c r="B12" s="17" t="inlineStr">
        <is>
          <t>1.  Press Alt+F11 to open the VBA editor.</t>
        </is>
      </c>
    </row>
    <row r="13">
      <c r="B13" s="17" t="inlineStr">
        <is>
          <t>2.  File ▸ Import File… ▸ choose scripts/BuildPivot.bas (ships alongside this workbook).</t>
        </is>
      </c>
    </row>
    <row r="14">
      <c r="B14" s="17" t="inlineStr">
        <is>
          <t>3.  Press F5 (or Developer ▸ Macros ▸ BuildPivot ▸ Run).</t>
        </is>
      </c>
    </row>
    <row r="15">
      <c r="B15" s="17" t="inlineStr">
        <is>
          <t xml:space="preserve">     It builds the PivotTable AND a Region slicer automatically.</t>
        </is>
      </c>
    </row>
    <row r="17">
      <c r="B17" s="18" t="inlineStr">
        <is>
          <t>Tip: the SUMIFS Matrix sheet is the same cross-tab as a formula — compare the two.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17"/>
  <sheetViews>
    <sheetView showGridLines="0" workbookViewId="0">
      <selection activeCell="A1" sqref="A1"/>
    </sheetView>
  </sheetViews>
  <sheetFormatPr baseColWidth="8" defaultRowHeight="15"/>
  <cols>
    <col width="20" customWidth="1" min="2" max="2"/>
    <col width="52" customWidth="1" min="3" max="3"/>
    <col width="52" customWidth="1" min="4" max="4"/>
  </cols>
  <sheetData>
    <row r="2">
      <c r="B2" s="11" t="inlineStr">
        <is>
          <t>Formula cheat-sheet</t>
        </is>
      </c>
    </row>
    <row r="3">
      <c r="B3" s="6" t="inlineStr">
        <is>
          <t>The handful of formulas that do 90% of analyst work in Excel.</t>
        </is>
      </c>
    </row>
    <row r="5">
      <c r="B5" s="19" t="inlineStr">
        <is>
          <t>Concept</t>
        </is>
      </c>
      <c r="C5" s="19" t="inlineStr">
        <is>
          <t>Formula pattern</t>
        </is>
      </c>
      <c r="D5" s="20" t="inlineStr">
        <is>
          <t>What it does</t>
        </is>
      </c>
    </row>
    <row r="6">
      <c r="B6" s="21" t="inlineStr">
        <is>
          <t>Row math</t>
        </is>
      </c>
      <c r="C6" s="22">
        <f>Units * UnitPrice</f>
        <v/>
      </c>
      <c r="D6" s="23" t="inlineStr">
        <is>
          <t>Revenue per row. Keep raw math on the Data sheet.</t>
        </is>
      </c>
    </row>
    <row r="7">
      <c r="B7" s="21" t="inlineStr">
        <is>
          <t>Margin</t>
        </is>
      </c>
      <c r="C7" s="22">
        <f>IF(Revenue=0, 0, Profit / Revenue)</f>
        <v/>
      </c>
      <c r="D7" s="23" t="inlineStr">
        <is>
          <t>Guard against divide-by-zero with IF.</t>
        </is>
      </c>
    </row>
    <row r="8">
      <c r="B8" s="21" t="inlineStr">
        <is>
          <t>Conditional sum</t>
        </is>
      </c>
      <c r="C8" s="22">
        <f>SUMIFS(Revenue, Region, "North", Quarter, "Q1")</f>
        <v/>
      </c>
      <c r="D8" s="23" t="inlineStr">
        <is>
          <t>The workhorse. Sum one column filtered by others — powers the Matrix.</t>
        </is>
      </c>
    </row>
    <row r="9">
      <c r="B9" s="21" t="inlineStr">
        <is>
          <t>Conditional count</t>
        </is>
      </c>
      <c r="C9" s="22">
        <f>COUNTIFS(Segment, "Enterprise")</f>
        <v/>
      </c>
      <c r="D9" s="23" t="inlineStr">
        <is>
          <t>Count rows meeting criteria (e.g. number of deals).</t>
        </is>
      </c>
    </row>
    <row r="10">
      <c r="B10" s="21" t="inlineStr">
        <is>
          <t>Variance %</t>
        </is>
      </c>
      <c r="C10" s="22">
        <f>(Actual - Target) / Target</f>
        <v/>
      </c>
      <c r="D10" s="23" t="inlineStr">
        <is>
          <t>How far actual is from target. Format as %.</t>
        </is>
      </c>
    </row>
    <row r="11">
      <c r="B11" s="21" t="inlineStr">
        <is>
          <t>RAG status</t>
        </is>
      </c>
      <c r="C11" s="22">
        <f>IF(Var&gt;=0,"On track",IF(Var&gt;=-0.1,"Watch","Off track"))</f>
        <v/>
      </c>
      <c r="D11" s="23" t="inlineStr">
        <is>
          <t>Traffic-light logic via nested IF; colour with conditional formatting.</t>
        </is>
      </c>
    </row>
    <row r="12">
      <c r="B12" s="21" t="inlineStr">
        <is>
          <t>Lookup</t>
        </is>
      </c>
      <c r="C12" s="22">
        <f>XLOOKUP(key, lookup_col, return_col)</f>
        <v/>
      </c>
      <c r="D12" s="23" t="inlineStr">
        <is>
          <t>Modern replacement for VLOOKUP — no column-index counting.</t>
        </is>
      </c>
    </row>
    <row r="13">
      <c r="B13" s="21" t="inlineStr">
        <is>
          <t>Dynamic total</t>
        </is>
      </c>
      <c r="C13" s="22">
        <f>SUM(Table[Revenue])</f>
        <v/>
      </c>
      <c r="D13" s="23" t="inlineStr">
        <is>
          <t>Structured reference — grows automatically as the table grows.</t>
        </is>
      </c>
    </row>
    <row r="14">
      <c r="B14" s="21" t="inlineStr">
        <is>
          <t>Ranking</t>
        </is>
      </c>
      <c r="C14" s="22">
        <f>RANK.EQ(value, range)</f>
        <v/>
      </c>
      <c r="D14" s="23" t="inlineStr">
        <is>
          <t>Rank reps / products without sorting the data.</t>
        </is>
      </c>
    </row>
    <row r="17">
      <c r="B17" s="18" t="inlineStr">
        <is>
          <t>Built for a SaaS / Software dataset — swap in your own numbers on the Data sheet and everything recalculates.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2026-08-27T00:56:07Z</dcterms:created>
  <dcterms:modified xsi:type="dcterms:W3CDTF">2026-08-27T00:56:07Z</dcterms:modified>
</cp:coreProperties>
</file>